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M:\MOH\Asset Mgt\AMR Templates\RY2018AMR\"/>
    </mc:Choice>
  </mc:AlternateContent>
  <workbookProtection workbookAlgorithmName="SHA-512" workbookHashValue="hSYPkU83sFLvB/iCv3QmgGY8tBIYXMneyHkyb8RSzsYnZPCakfswCxrI4rfVz0ZquURAkQhiBN8FQayh9Ncueg==" workbookSaltValue="vppRq065FklnInkrNecl7w==" workbookSpinCount="100000" lockStructure="1"/>
  <bookViews>
    <workbookView xWindow="0" yWindow="0" windowWidth="27360" windowHeight="13080" tabRatio="906" activeTab="2"/>
  </bookViews>
  <sheets>
    <sheet name="Instructions" sheetId="1" r:id="rId1"/>
    <sheet name="HIDE-ProjList" sheetId="14" state="hidden" r:id="rId2"/>
    <sheet name=" 1A.Prop&amp;Residents" sheetId="2" r:id="rId3"/>
    <sheet name="1B.TransitionalProg" sheetId="3" r:id="rId4"/>
    <sheet name="1C.Eviction" sheetId="4" r:id="rId5"/>
    <sheet name="2.Fiscal" sheetId="5" r:id="rId6"/>
    <sheet name="3A.Occpcy&amp;Rent" sheetId="7" r:id="rId7"/>
    <sheet name="3B.Demographic" sheetId="12" r:id="rId8"/>
    <sheet name="3C.DemographicSummary" sheetId="13" r:id="rId9"/>
    <sheet name="4.Narrative" sheetId="8" r:id="rId10"/>
    <sheet name="5.Financing" sheetId="9" r:id="rId11"/>
    <sheet name="6.Services" sheetId="10" r:id="rId12"/>
    <sheet name="7.SuppInfo-Audit" sheetId="6" r:id="rId13"/>
    <sheet name="Completeness Tracker" sheetId="11" r:id="rId14"/>
  </sheets>
  <definedNames>
    <definedName name="_3._Does_the_project_show_an_AVERAGE_VACANT_UNIT_RENT_UP_TIME_GREATER_THAN______30_days__for_question_86_of_the_Project_Activity_Report._If_so__you_must_supply_the_____following">'4.Narrative'!$E$98</definedName>
    <definedName name="_xlnm._FilterDatabase" localSheetId="2" hidden="1">' 1A.Prop&amp;Residents'!$AG$10:$AP$275</definedName>
    <definedName name="_xlnm._FilterDatabase" localSheetId="4" hidden="1">'1C.Eviction'!$O$7:$O$25</definedName>
    <definedName name="_xlnm._FilterDatabase" localSheetId="6" hidden="1">'3A.Occpcy&amp;Rent'!$D$10:$Y$14</definedName>
    <definedName name="_xlnm._FilterDatabase" localSheetId="7" hidden="1">'3B.Demographic'!$D$10:$N$14</definedName>
    <definedName name="_xlnm._FilterDatabase" localSheetId="10" hidden="1">'5.Financing'!$A$27:$G$41</definedName>
    <definedName name="_xlnm._FilterDatabase" localSheetId="1" hidden="1">'HIDE-ProjList'!$B$4:$M$273</definedName>
    <definedName name="AffirmativeMarketing">'4.Narrative'!$E$115</definedName>
    <definedName name="AMFees">'4.Narrative'!#REF!</definedName>
    <definedName name="Codes">'4.Narrative'!$E$39</definedName>
    <definedName name="DataEntry">'4.Narrative'!$E$21</definedName>
    <definedName name="DistribPriority">OFFSET('2.Fiscal'!$W$144,0,0,COUNTA('2.Fiscal'!$W$144:$W$158)-COUNTBLANK('2.Fiscal'!$W$144:$W$158),1)</definedName>
    <definedName name="Marketing">'4.Narrative'!$E$115</definedName>
    <definedName name="MiscAdminExp">'4.Narrative'!$E$151</definedName>
    <definedName name="MiscOpExp">'4.Narrative'!$E$163:$H$163</definedName>
    <definedName name="NarrativeAffirmMarketing">'4.Narrative'!$E$115</definedName>
    <definedName name="NarrativeVacRat">'4.Narrative'!$E$133</definedName>
    <definedName name="NegCashFlow">'4.Narrative'!$E$180</definedName>
    <definedName name="NegCashFlowNarrative">'4.Narrative'!$E$180</definedName>
    <definedName name="Number" localSheetId="11">#REF!</definedName>
    <definedName name="Page1">'2.Fiscal'!$A$16:$J$174</definedName>
    <definedName name="Page2">'2.Fiscal'!$A$48:$J$101</definedName>
    <definedName name="PPTTaxes">'4.Narrative'!#REF!</definedName>
    <definedName name="_xlnm.Print_Area" localSheetId="2">' 1A.Prop&amp;Residents'!$F$9:$M$88</definedName>
    <definedName name="_xlnm.Print_Area" localSheetId="3">'1B.TransitionalProg'!$G$2:$P$53</definedName>
    <definedName name="_xlnm.Print_Area" localSheetId="4">'1C.Eviction'!$D:$M</definedName>
    <definedName name="_xlnm.Print_Area" localSheetId="5">'2.Fiscal'!$B$15:$R$245</definedName>
    <definedName name="_xlnm.Print_Area" localSheetId="6">'3A.Occpcy&amp;Rent'!$B$2:$AH$414</definedName>
    <definedName name="_xlnm.Print_Area" localSheetId="7">'3B.Demographic'!$B$2:$BQ$414</definedName>
    <definedName name="_xlnm.Print_Area" localSheetId="8">'3C.DemographicSummary'!$A$1:$N$57</definedName>
    <definedName name="_xlnm.Print_Area" localSheetId="9">'4.Narrative'!$E$7:$Q$188</definedName>
    <definedName name="_xlnm.Print_Area" localSheetId="10">'5.Financing'!$A$2:$M$21</definedName>
    <definedName name="_xlnm.Print_Area" localSheetId="11">'6.Services'!$A$2:$G$18</definedName>
    <definedName name="_xlnm.Print_Area" localSheetId="12">'7.SuppInfo-Audit'!$A$5:$G$150,'7.SuppInfo-Audit'!$K$5:$S$65,'7.SuppInfo-Audit'!$U$5:$AB$15</definedName>
    <definedName name="_xlnm.Print_Area" localSheetId="13">'Completeness Tracker'!$B$1:$H$76</definedName>
    <definedName name="_xlnm.Print_Area" localSheetId="0">Instructions!$A$1:$R$171</definedName>
    <definedName name="_xlnm.Print_Titles" localSheetId="5">'2.Fiscal'!$15:$15</definedName>
    <definedName name="_xlnm.Print_Titles" localSheetId="6">'3A.Occpcy&amp;Rent'!$2:$14</definedName>
    <definedName name="_xlnm.Print_Titles" localSheetId="7">'3B.Demographic'!$2:$14</definedName>
    <definedName name="_xlnm.Print_Titles" localSheetId="8">'3C.DemographicSummary'!$2:$4</definedName>
    <definedName name="ProjectList">OFFSET(' 1A.Prop&amp;Residents'!$AA$11,0,0,COUNTA(' 1A.Prop&amp;Residents'!$AA$11:$AA$303))</definedName>
    <definedName name="ProjectList2">OFFSET('HIDE-ProjList'!$B$5,0,0,COUNTA('HIDE-ProjList'!$B$5:$B$399))</definedName>
    <definedName name="PropTaxes">'4.Narrative'!$E$110</definedName>
    <definedName name="Repairs">'4.Narrative'!$E$81</definedName>
    <definedName name="Replacement">'4.Narrative'!$E$79</definedName>
    <definedName name="Service_Provider_Name">'6.Services'!$B$8</definedName>
    <definedName name="ServicesProvided">'6.Services'!$B$8</definedName>
    <definedName name="Taxes">'4.Narrative'!$E$115</definedName>
    <definedName name="TopofForm" localSheetId="11">#REF!</definedName>
    <definedName name="VacantNarrative">'4.Narrative'!$E$98</definedName>
    <definedName name="VacantUnit">'4.Narrative'!$E$93</definedName>
    <definedName name="VacRate">'4.Narrative'!$E$133</definedName>
    <definedName name="VacUnitRentUpTime">'4.Narrative'!$E$98</definedName>
    <definedName name="Violation_or_Citation">'4.Narrative'!$E$42</definedName>
    <definedName name="Violations">'4.Narrative'!$E$42</definedName>
    <definedName name="WholePage" localSheetId="7">'3B.Demographic'!$C$9:$N$416</definedName>
    <definedName name="WholePage">'3A.Occpcy&amp;Rent'!$C$9:$Z$416</definedName>
    <definedName name="Z_A4F761B4_88B3_4464_91E0_1CCCDBCD1B8B_.wvu.Cols" localSheetId="5" hidden="1">'2.Fiscal'!$T:$T</definedName>
    <definedName name="Z_A4F761B4_88B3_4464_91E0_1CCCDBCD1B8B_.wvu.Cols" localSheetId="6" hidden="1">'3A.Occpcy&amp;Rent'!$AA:$AA,'3A.Occpcy&amp;Rent'!$AI:$AL</definedName>
    <definedName name="Z_A4F761B4_88B3_4464_91E0_1CCCDBCD1B8B_.wvu.Cols" localSheetId="7" hidden="1">'3B.Demographic'!$O:$O,'3B.Demographic'!$T:$U</definedName>
    <definedName name="Z_A4F761B4_88B3_4464_91E0_1CCCDBCD1B8B_.wvu.PrintArea" localSheetId="5" hidden="1">'2.Fiscal'!$B$15:$J$245</definedName>
    <definedName name="Z_A4F761B4_88B3_4464_91E0_1CCCDBCD1B8B_.wvu.PrintArea" localSheetId="6" hidden="1">'3A.Occpcy&amp;Rent'!$B$2:$AH$414</definedName>
    <definedName name="Z_A4F761B4_88B3_4464_91E0_1CCCDBCD1B8B_.wvu.PrintArea" localSheetId="7" hidden="1">'3B.Demographic'!$B$2:$P$414</definedName>
    <definedName name="Z_A4F761B4_88B3_4464_91E0_1CCCDBCD1B8B_.wvu.PrintArea" localSheetId="9" hidden="1">'4.Narrative'!$E$7:$P$188</definedName>
    <definedName name="Z_A4F761B4_88B3_4464_91E0_1CCCDBCD1B8B_.wvu.PrintArea" localSheetId="13" hidden="1">'Completeness Tracker'!$B$1:$H$27</definedName>
    <definedName name="Z_A4F761B4_88B3_4464_91E0_1CCCDBCD1B8B_.wvu.PrintArea" localSheetId="0" hidden="1">Instructions!$B$5:$R$171</definedName>
    <definedName name="Z_A4F761B4_88B3_4464_91E0_1CCCDBCD1B8B_.wvu.PrintTitles" localSheetId="5" hidden="1">'2.Fiscal'!$15:$15</definedName>
    <definedName name="Z_A4F761B4_88B3_4464_91E0_1CCCDBCD1B8B_.wvu.PrintTitles" localSheetId="6" hidden="1">'3A.Occpcy&amp;Rent'!$2:$14</definedName>
    <definedName name="Z_A4F761B4_88B3_4464_91E0_1CCCDBCD1B8B_.wvu.PrintTitles" localSheetId="7" hidden="1">'3B.Demographic'!$2:$14</definedName>
    <definedName name="Z_BE27EBD8_ED47_4D05_A191_2893A8781B62_.wvu.Cols" localSheetId="2" hidden="1">' 1A.Prop&amp;Residents'!$A:$E,' 1A.Prop&amp;Residents'!$N:$XFD</definedName>
    <definedName name="Z_BE27EBD8_ED47_4D05_A191_2893A8781B62_.wvu.Cols" localSheetId="3" hidden="1">'1B.TransitionalProg'!$A:$F,'1B.TransitionalProg'!$Q:$XFD</definedName>
    <definedName name="Z_BE27EBD8_ED47_4D05_A191_2893A8781B62_.wvu.Cols" localSheetId="4" hidden="1">'1C.Eviction'!$A:$C,'1C.Eviction'!$N:$XFD</definedName>
    <definedName name="Z_BE27EBD8_ED47_4D05_A191_2893A8781B62_.wvu.Cols" localSheetId="5" hidden="1">'2.Fiscal'!$A:$A</definedName>
    <definedName name="Z_BE27EBD8_ED47_4D05_A191_2893A8781B62_.wvu.Cols" localSheetId="6" hidden="1">'3A.Occpcy&amp;Rent'!$A:$B,'3A.Occpcy&amp;Rent'!$AA:$XFD</definedName>
    <definedName name="Z_BE27EBD8_ED47_4D05_A191_2893A8781B62_.wvu.Cols" localSheetId="7" hidden="1">'3B.Demographic'!$A:$B,'3B.Demographic'!$O:$XFD</definedName>
    <definedName name="Z_BE27EBD8_ED47_4D05_A191_2893A8781B62_.wvu.Cols" localSheetId="9" hidden="1">'4.Narrative'!$A:$D,'4.Narrative'!$R:$XFD</definedName>
    <definedName name="Z_BE27EBD8_ED47_4D05_A191_2893A8781B62_.wvu.Cols" localSheetId="10" hidden="1">'5.Financing'!$K:$XFD</definedName>
    <definedName name="Z_BE27EBD8_ED47_4D05_A191_2893A8781B62_.wvu.Cols" localSheetId="11" hidden="1">'6.Services'!$I:$XFD</definedName>
    <definedName name="Z_BE27EBD8_ED47_4D05_A191_2893A8781B62_.wvu.Cols" localSheetId="13" hidden="1">'Completeness Tracker'!$A:$A</definedName>
    <definedName name="Z_BE27EBD8_ED47_4D05_A191_2893A8781B62_.wvu.Cols" localSheetId="0" hidden="1">Instructions!$A:$A,Instructions!$S:$XFD</definedName>
    <definedName name="Z_BE27EBD8_ED47_4D05_A191_2893A8781B62_.wvu.FilterData" localSheetId="4" hidden="1">'1C.Eviction'!$O$7:$O$25</definedName>
    <definedName name="Z_BE27EBD8_ED47_4D05_A191_2893A8781B62_.wvu.FilterData" localSheetId="10" hidden="1">'5.Financing'!$A$27:$G$41</definedName>
    <definedName name="Z_BE27EBD8_ED47_4D05_A191_2893A8781B62_.wvu.PrintArea" localSheetId="2" hidden="1">' 1A.Prop&amp;Residents'!$F$9:$M$119</definedName>
    <definedName name="Z_BE27EBD8_ED47_4D05_A191_2893A8781B62_.wvu.PrintArea" localSheetId="3" hidden="1">'1B.TransitionalProg'!$G$3:$P$53</definedName>
    <definedName name="Z_BE27EBD8_ED47_4D05_A191_2893A8781B62_.wvu.PrintArea" localSheetId="4" hidden="1">'1C.Eviction'!$D:$M</definedName>
    <definedName name="Z_BE27EBD8_ED47_4D05_A191_2893A8781B62_.wvu.PrintArea" localSheetId="5" hidden="1">'2.Fiscal'!$B$15:$R$245</definedName>
    <definedName name="Z_BE27EBD8_ED47_4D05_A191_2893A8781B62_.wvu.PrintArea" localSheetId="6" hidden="1">'3A.Occpcy&amp;Rent'!$B$2:$AH$414</definedName>
    <definedName name="Z_BE27EBD8_ED47_4D05_A191_2893A8781B62_.wvu.PrintArea" localSheetId="7" hidden="1">'3B.Demographic'!$B$2:$P$414</definedName>
    <definedName name="Z_BE27EBD8_ED47_4D05_A191_2893A8781B62_.wvu.PrintArea" localSheetId="9" hidden="1">'4.Narrative'!$E$7:$P$188</definedName>
    <definedName name="Z_BE27EBD8_ED47_4D05_A191_2893A8781B62_.wvu.PrintArea" localSheetId="10" hidden="1">'5.Financing'!$A$2:$M$21</definedName>
    <definedName name="Z_BE27EBD8_ED47_4D05_A191_2893A8781B62_.wvu.PrintArea" localSheetId="11" hidden="1">'6.Services'!$A$2:$M$18</definedName>
    <definedName name="Z_BE27EBD8_ED47_4D05_A191_2893A8781B62_.wvu.PrintArea" localSheetId="12" hidden="1">'7.SuppInfo-Audit'!$A$5:$E$105,'7.SuppInfo-Audit'!$K$5:$Q$72,'7.SuppInfo-Audit'!$U$5:$AB$15</definedName>
    <definedName name="Z_BE27EBD8_ED47_4D05_A191_2893A8781B62_.wvu.PrintArea" localSheetId="13" hidden="1">'Completeness Tracker'!$A$1:$H$74</definedName>
    <definedName name="Z_BE27EBD8_ED47_4D05_A191_2893A8781B62_.wvu.PrintArea" localSheetId="0" hidden="1">Instructions!$B$1:$R$171</definedName>
    <definedName name="Z_BE27EBD8_ED47_4D05_A191_2893A8781B62_.wvu.PrintTitles" localSheetId="5" hidden="1">'2.Fiscal'!$15:$15</definedName>
    <definedName name="Z_BE27EBD8_ED47_4D05_A191_2893A8781B62_.wvu.PrintTitles" localSheetId="6" hidden="1">'3A.Occpcy&amp;Rent'!$2:$14</definedName>
    <definedName name="Z_BE27EBD8_ED47_4D05_A191_2893A8781B62_.wvu.PrintTitles" localSheetId="7" hidden="1">'3B.Demographic'!$2:$14</definedName>
    <definedName name="Z_BE27EBD8_ED47_4D05_A191_2893A8781B62_.wvu.Rows" localSheetId="2" hidden="1">' 1A.Prop&amp;Residents'!$120:$1048576,' 1A.Prop&amp;Residents'!$1:$8</definedName>
    <definedName name="Z_BE27EBD8_ED47_4D05_A191_2893A8781B62_.wvu.Rows" localSheetId="3" hidden="1">'1B.TransitionalProg'!$56:$1048576,'1B.TransitionalProg'!$1:$1</definedName>
    <definedName name="Z_BE27EBD8_ED47_4D05_A191_2893A8781B62_.wvu.Rows" localSheetId="4" hidden="1">'1C.Eviction'!$77:$1048576,'1C.Eviction'!$74:$76</definedName>
    <definedName name="Z_BE27EBD8_ED47_4D05_A191_2893A8781B62_.wvu.Rows" localSheetId="5" hidden="1">'2.Fiscal'!$627:$1048576,'2.Fiscal'!$2:$11,'2.Fiscal'!$247:$626</definedName>
    <definedName name="Z_BE27EBD8_ED47_4D05_A191_2893A8781B62_.wvu.Rows" localSheetId="6" hidden="1">'3A.Occpcy&amp;Rent'!$456:$1048576,'3A.Occpcy&amp;Rent'!$415:$455</definedName>
    <definedName name="Z_BE27EBD8_ED47_4D05_A191_2893A8781B62_.wvu.Rows" localSheetId="7" hidden="1">'3B.Demographic'!$454:$1048576,'3B.Demographic'!$415:$453</definedName>
    <definedName name="Z_BE27EBD8_ED47_4D05_A191_2893A8781B62_.wvu.Rows" localSheetId="9" hidden="1">'4.Narrative'!$294:$1048576,'4.Narrative'!$1:$6,'4.Narrative'!$159:$159,'4.Narrative'!$171:$171,'4.Narrative'!#REF!,'4.Narrative'!$190:$293</definedName>
    <definedName name="Z_BE27EBD8_ED47_4D05_A191_2893A8781B62_.wvu.Rows" localSheetId="10" hidden="1">'5.Financing'!$43:$1048576,'5.Financing'!$1:$1,'5.Financing'!$8:$8,'5.Financing'!$21:$41</definedName>
    <definedName name="Z_BE27EBD8_ED47_4D05_A191_2893A8781B62_.wvu.Rows" localSheetId="11" hidden="1">'6.Services'!$25:$1048576,'6.Services'!$1:$1,'6.Services'!$19:$24</definedName>
    <definedName name="Z_BE27EBD8_ED47_4D05_A191_2893A8781B62_.wvu.Rows" localSheetId="12" hidden="1">'7.SuppInfo-Audit'!$3:$4</definedName>
    <definedName name="Z_BE27EBD8_ED47_4D05_A191_2893A8781B62_.wvu.Rows" localSheetId="13" hidden="1">'Completeness Tracker'!$99:$1048576,'Completeness Tracker'!#REF!,'Completeness Tracker'!$3:$3,'Completeness Tracker'!$9:$13,'Completeness Tracker'!$75:$98</definedName>
    <definedName name="Z_BE27EBD8_ED47_4D05_A191_2893A8781B62_.wvu.Rows" localSheetId="0" hidden="1">Instructions!$245:$1048576,Instructions!$1:$1,Instructions!$172:$244</definedName>
  </definedNames>
  <calcPr calcId="152511"/>
  <customWorkbookViews>
    <customWorkbookView name="smadden - Personal View" guid="{A4F761B4-88B3-4464-91E0-1CCCDBCD1B8B}" mergeInterval="0" personalView="1" maximized="1" windowWidth="1148" windowHeight="693" tabRatio="949" activeSheetId="1"/>
    <customWorkbookView name="Jackie Tsou - Personal View" guid="{BE27EBD8-ED47-4D05-A191-2893A8781B62}" mergeInterval="0" personalView="1" xWindow="41" yWindow="75" windowWidth="1203" windowHeight="705" activeSheetId="5"/>
  </customWorkbookViews>
</workbook>
</file>

<file path=xl/calcChain.xml><?xml version="1.0" encoding="utf-8"?>
<calcChain xmlns="http://schemas.openxmlformats.org/spreadsheetml/2006/main">
  <c r="A88" i="6" l="1"/>
  <c r="A39" i="6"/>
  <c r="U19" i="6" l="1"/>
  <c r="AG414" i="7" l="1"/>
  <c r="AF414" i="7"/>
  <c r="AE414" i="7"/>
  <c r="AD414" i="7"/>
  <c r="AC414" i="7"/>
  <c r="AB414" i="7"/>
  <c r="AA414" i="7"/>
  <c r="AG413" i="7"/>
  <c r="AF413" i="7"/>
  <c r="AE413" i="7"/>
  <c r="AD413" i="7"/>
  <c r="AC413" i="7"/>
  <c r="AB413" i="7"/>
  <c r="AA413" i="7"/>
  <c r="AG412" i="7"/>
  <c r="AF412" i="7"/>
  <c r="AE412" i="7"/>
  <c r="AD412" i="7"/>
  <c r="AC412" i="7"/>
  <c r="AB412" i="7"/>
  <c r="AA412" i="7"/>
  <c r="AG411" i="7"/>
  <c r="AF411" i="7"/>
  <c r="AE411" i="7"/>
  <c r="AD411" i="7"/>
  <c r="AC411" i="7"/>
  <c r="AB411" i="7"/>
  <c r="AA411" i="7"/>
  <c r="AG410" i="7"/>
  <c r="AF410" i="7"/>
  <c r="AE410" i="7"/>
  <c r="AD410" i="7"/>
  <c r="AC410" i="7"/>
  <c r="AB410" i="7"/>
  <c r="AA410" i="7"/>
  <c r="AG409" i="7"/>
  <c r="AF409" i="7"/>
  <c r="AE409" i="7"/>
  <c r="AD409" i="7"/>
  <c r="AC409" i="7"/>
  <c r="AB409" i="7"/>
  <c r="AA409" i="7"/>
  <c r="AG408" i="7"/>
  <c r="AF408" i="7"/>
  <c r="AE408" i="7"/>
  <c r="AD408" i="7"/>
  <c r="AC408" i="7"/>
  <c r="AB408" i="7"/>
  <c r="AA408" i="7"/>
  <c r="AG407" i="7"/>
  <c r="AF407" i="7"/>
  <c r="AE407" i="7"/>
  <c r="AD407" i="7"/>
  <c r="AC407" i="7"/>
  <c r="AB407" i="7"/>
  <c r="AA407" i="7"/>
  <c r="AG406" i="7"/>
  <c r="AF406" i="7"/>
  <c r="AE406" i="7"/>
  <c r="AD406" i="7"/>
  <c r="AC406" i="7"/>
  <c r="AB406" i="7"/>
  <c r="AA406" i="7"/>
  <c r="AG405" i="7"/>
  <c r="AF405" i="7"/>
  <c r="AE405" i="7"/>
  <c r="AD405" i="7"/>
  <c r="AC405" i="7"/>
  <c r="AB405" i="7"/>
  <c r="AA405" i="7"/>
  <c r="AG404" i="7"/>
  <c r="AF404" i="7"/>
  <c r="AE404" i="7"/>
  <c r="AD404" i="7"/>
  <c r="AC404" i="7"/>
  <c r="AB404" i="7"/>
  <c r="AA404" i="7"/>
  <c r="AG403" i="7"/>
  <c r="AF403" i="7"/>
  <c r="AE403" i="7"/>
  <c r="AD403" i="7"/>
  <c r="AC403" i="7"/>
  <c r="AB403" i="7"/>
  <c r="AA403" i="7"/>
  <c r="AG402" i="7"/>
  <c r="AF402" i="7"/>
  <c r="AE402" i="7"/>
  <c r="AD402" i="7"/>
  <c r="AC402" i="7"/>
  <c r="AB402" i="7"/>
  <c r="AA402" i="7"/>
  <c r="AG401" i="7"/>
  <c r="AF401" i="7"/>
  <c r="AE401" i="7"/>
  <c r="AD401" i="7"/>
  <c r="AC401" i="7"/>
  <c r="AB401" i="7"/>
  <c r="AA401" i="7"/>
  <c r="AG400" i="7"/>
  <c r="AF400" i="7"/>
  <c r="AE400" i="7"/>
  <c r="AD400" i="7"/>
  <c r="AC400" i="7"/>
  <c r="AB400" i="7"/>
  <c r="AA400" i="7"/>
  <c r="AG399" i="7"/>
  <c r="AF399" i="7"/>
  <c r="AE399" i="7"/>
  <c r="AD399" i="7"/>
  <c r="AC399" i="7"/>
  <c r="AB399" i="7"/>
  <c r="AA399" i="7"/>
  <c r="AG398" i="7"/>
  <c r="AF398" i="7"/>
  <c r="AE398" i="7"/>
  <c r="AD398" i="7"/>
  <c r="AC398" i="7"/>
  <c r="AB398" i="7"/>
  <c r="AA398" i="7"/>
  <c r="AG397" i="7"/>
  <c r="AF397" i="7"/>
  <c r="AE397" i="7"/>
  <c r="AD397" i="7"/>
  <c r="AC397" i="7"/>
  <c r="AB397" i="7"/>
  <c r="AA397" i="7"/>
  <c r="AG396" i="7"/>
  <c r="AF396" i="7"/>
  <c r="AE396" i="7"/>
  <c r="AD396" i="7"/>
  <c r="AC396" i="7"/>
  <c r="AB396" i="7"/>
  <c r="AA396" i="7"/>
  <c r="AG395" i="7"/>
  <c r="AF395" i="7"/>
  <c r="AE395" i="7"/>
  <c r="AD395" i="7"/>
  <c r="AC395" i="7"/>
  <c r="AB395" i="7"/>
  <c r="AA395" i="7"/>
  <c r="AG394" i="7"/>
  <c r="AF394" i="7"/>
  <c r="AE394" i="7"/>
  <c r="AD394" i="7"/>
  <c r="AC394" i="7"/>
  <c r="AB394" i="7"/>
  <c r="AA394" i="7"/>
  <c r="AG393" i="7"/>
  <c r="AF393" i="7"/>
  <c r="AE393" i="7"/>
  <c r="AD393" i="7"/>
  <c r="AC393" i="7"/>
  <c r="AB393" i="7"/>
  <c r="AA393" i="7"/>
  <c r="AG392" i="7"/>
  <c r="AF392" i="7"/>
  <c r="AE392" i="7"/>
  <c r="AD392" i="7"/>
  <c r="AC392" i="7"/>
  <c r="AB392" i="7"/>
  <c r="AA392" i="7"/>
  <c r="AG391" i="7"/>
  <c r="AF391" i="7"/>
  <c r="AE391" i="7"/>
  <c r="AD391" i="7"/>
  <c r="AC391" i="7"/>
  <c r="AB391" i="7"/>
  <c r="AA391" i="7"/>
  <c r="AG390" i="7"/>
  <c r="AF390" i="7"/>
  <c r="AE390" i="7"/>
  <c r="AD390" i="7"/>
  <c r="AC390" i="7"/>
  <c r="AB390" i="7"/>
  <c r="AA390" i="7"/>
  <c r="AG389" i="7"/>
  <c r="AF389" i="7"/>
  <c r="AE389" i="7"/>
  <c r="AD389" i="7"/>
  <c r="AC389" i="7"/>
  <c r="AB389" i="7"/>
  <c r="AA389" i="7"/>
  <c r="AG388" i="7"/>
  <c r="AF388" i="7"/>
  <c r="AE388" i="7"/>
  <c r="AD388" i="7"/>
  <c r="AC388" i="7"/>
  <c r="AB388" i="7"/>
  <c r="AA388" i="7"/>
  <c r="AG387" i="7"/>
  <c r="AF387" i="7"/>
  <c r="AE387" i="7"/>
  <c r="AD387" i="7"/>
  <c r="AC387" i="7"/>
  <c r="AB387" i="7"/>
  <c r="AA387" i="7"/>
  <c r="AG386" i="7"/>
  <c r="AF386" i="7"/>
  <c r="AE386" i="7"/>
  <c r="AD386" i="7"/>
  <c r="AC386" i="7"/>
  <c r="AB386" i="7"/>
  <c r="AA386" i="7"/>
  <c r="AG385" i="7"/>
  <c r="AF385" i="7"/>
  <c r="AE385" i="7"/>
  <c r="AD385" i="7"/>
  <c r="AC385" i="7"/>
  <c r="AB385" i="7"/>
  <c r="AA385" i="7"/>
  <c r="AG384" i="7"/>
  <c r="AF384" i="7"/>
  <c r="AE384" i="7"/>
  <c r="AD384" i="7"/>
  <c r="AC384" i="7"/>
  <c r="AB384" i="7"/>
  <c r="AA384" i="7"/>
  <c r="AG383" i="7"/>
  <c r="AF383" i="7"/>
  <c r="AE383" i="7"/>
  <c r="AD383" i="7"/>
  <c r="AC383" i="7"/>
  <c r="AB383" i="7"/>
  <c r="AA383" i="7"/>
  <c r="AG382" i="7"/>
  <c r="AF382" i="7"/>
  <c r="AE382" i="7"/>
  <c r="AD382" i="7"/>
  <c r="AC382" i="7"/>
  <c r="AB382" i="7"/>
  <c r="AA382" i="7"/>
  <c r="AG381" i="7"/>
  <c r="AF381" i="7"/>
  <c r="AE381" i="7"/>
  <c r="AD381" i="7"/>
  <c r="AC381" i="7"/>
  <c r="AB381" i="7"/>
  <c r="AA381" i="7"/>
  <c r="AG380" i="7"/>
  <c r="AF380" i="7"/>
  <c r="AE380" i="7"/>
  <c r="AD380" i="7"/>
  <c r="AC380" i="7"/>
  <c r="AB380" i="7"/>
  <c r="AA380" i="7"/>
  <c r="AG379" i="7"/>
  <c r="AF379" i="7"/>
  <c r="AE379" i="7"/>
  <c r="AD379" i="7"/>
  <c r="AC379" i="7"/>
  <c r="AB379" i="7"/>
  <c r="AA379" i="7"/>
  <c r="AG378" i="7"/>
  <c r="AF378" i="7"/>
  <c r="AE378" i="7"/>
  <c r="AD378" i="7"/>
  <c r="AC378" i="7"/>
  <c r="AB378" i="7"/>
  <c r="AA378" i="7"/>
  <c r="AG377" i="7"/>
  <c r="AF377" i="7"/>
  <c r="AE377" i="7"/>
  <c r="AD377" i="7"/>
  <c r="AC377" i="7"/>
  <c r="AB377" i="7"/>
  <c r="AA377" i="7"/>
  <c r="AG376" i="7"/>
  <c r="AF376" i="7"/>
  <c r="AE376" i="7"/>
  <c r="AD376" i="7"/>
  <c r="AC376" i="7"/>
  <c r="AB376" i="7"/>
  <c r="AA376" i="7"/>
  <c r="AG375" i="7"/>
  <c r="AF375" i="7"/>
  <c r="AE375" i="7"/>
  <c r="AD375" i="7"/>
  <c r="AC375" i="7"/>
  <c r="AB375" i="7"/>
  <c r="AA375" i="7"/>
  <c r="AG374" i="7"/>
  <c r="AF374" i="7"/>
  <c r="AE374" i="7"/>
  <c r="AD374" i="7"/>
  <c r="AC374" i="7"/>
  <c r="AB374" i="7"/>
  <c r="AA374" i="7"/>
  <c r="AG373" i="7"/>
  <c r="AF373" i="7"/>
  <c r="AE373" i="7"/>
  <c r="AD373" i="7"/>
  <c r="AC373" i="7"/>
  <c r="AB373" i="7"/>
  <c r="AA373" i="7"/>
  <c r="AG372" i="7"/>
  <c r="AF372" i="7"/>
  <c r="AE372" i="7"/>
  <c r="AD372" i="7"/>
  <c r="AC372" i="7"/>
  <c r="AB372" i="7"/>
  <c r="AA372" i="7"/>
  <c r="AG371" i="7"/>
  <c r="AF371" i="7"/>
  <c r="AE371" i="7"/>
  <c r="AD371" i="7"/>
  <c r="AC371" i="7"/>
  <c r="AB371" i="7"/>
  <c r="AA371" i="7"/>
  <c r="AG370" i="7"/>
  <c r="AF370" i="7"/>
  <c r="AE370" i="7"/>
  <c r="AD370" i="7"/>
  <c r="AC370" i="7"/>
  <c r="AB370" i="7"/>
  <c r="AA370" i="7"/>
  <c r="AG369" i="7"/>
  <c r="AF369" i="7"/>
  <c r="AE369" i="7"/>
  <c r="AD369" i="7"/>
  <c r="AC369" i="7"/>
  <c r="AB369" i="7"/>
  <c r="AA369" i="7"/>
  <c r="AG368" i="7"/>
  <c r="AF368" i="7"/>
  <c r="AE368" i="7"/>
  <c r="AD368" i="7"/>
  <c r="AC368" i="7"/>
  <c r="AB368" i="7"/>
  <c r="AA368" i="7"/>
  <c r="AG367" i="7"/>
  <c r="AF367" i="7"/>
  <c r="AE367" i="7"/>
  <c r="AD367" i="7"/>
  <c r="AC367" i="7"/>
  <c r="AB367" i="7"/>
  <c r="AA367" i="7"/>
  <c r="AG366" i="7"/>
  <c r="AF366" i="7"/>
  <c r="AE366" i="7"/>
  <c r="AD366" i="7"/>
  <c r="AC366" i="7"/>
  <c r="AB366" i="7"/>
  <c r="AA366" i="7"/>
  <c r="AG365" i="7"/>
  <c r="AF365" i="7"/>
  <c r="AE365" i="7"/>
  <c r="AD365" i="7"/>
  <c r="AC365" i="7"/>
  <c r="AB365" i="7"/>
  <c r="AA365" i="7"/>
  <c r="AG364" i="7"/>
  <c r="AF364" i="7"/>
  <c r="AE364" i="7"/>
  <c r="AD364" i="7"/>
  <c r="AC364" i="7"/>
  <c r="AB364" i="7"/>
  <c r="AA364" i="7"/>
  <c r="AG363" i="7"/>
  <c r="AF363" i="7"/>
  <c r="AE363" i="7"/>
  <c r="AD363" i="7"/>
  <c r="AC363" i="7"/>
  <c r="AB363" i="7"/>
  <c r="AA363" i="7"/>
  <c r="AG362" i="7"/>
  <c r="AF362" i="7"/>
  <c r="AE362" i="7"/>
  <c r="AD362" i="7"/>
  <c r="AC362" i="7"/>
  <c r="AB362" i="7"/>
  <c r="AA362" i="7"/>
  <c r="AG361" i="7"/>
  <c r="AF361" i="7"/>
  <c r="AE361" i="7"/>
  <c r="AD361" i="7"/>
  <c r="AC361" i="7"/>
  <c r="AB361" i="7"/>
  <c r="AA361" i="7"/>
  <c r="AG360" i="7"/>
  <c r="AF360" i="7"/>
  <c r="AE360" i="7"/>
  <c r="AD360" i="7"/>
  <c r="AC360" i="7"/>
  <c r="AB360" i="7"/>
  <c r="AA360" i="7"/>
  <c r="AG359" i="7"/>
  <c r="AF359" i="7"/>
  <c r="AE359" i="7"/>
  <c r="AD359" i="7"/>
  <c r="AC359" i="7"/>
  <c r="AB359" i="7"/>
  <c r="AA359" i="7"/>
  <c r="AG358" i="7"/>
  <c r="AF358" i="7"/>
  <c r="AE358" i="7"/>
  <c r="AD358" i="7"/>
  <c r="AC358" i="7"/>
  <c r="AB358" i="7"/>
  <c r="AA358" i="7"/>
  <c r="AG357" i="7"/>
  <c r="AF357" i="7"/>
  <c r="AE357" i="7"/>
  <c r="AD357" i="7"/>
  <c r="AC357" i="7"/>
  <c r="AB357" i="7"/>
  <c r="AA357" i="7"/>
  <c r="AG356" i="7"/>
  <c r="AF356" i="7"/>
  <c r="AE356" i="7"/>
  <c r="AD356" i="7"/>
  <c r="AC356" i="7"/>
  <c r="AB356" i="7"/>
  <c r="AA356" i="7"/>
  <c r="AG355" i="7"/>
  <c r="AF355" i="7"/>
  <c r="AE355" i="7"/>
  <c r="AD355" i="7"/>
  <c r="AC355" i="7"/>
  <c r="AB355" i="7"/>
  <c r="AA355" i="7"/>
  <c r="AG354" i="7"/>
  <c r="AF354" i="7"/>
  <c r="AE354" i="7"/>
  <c r="AD354" i="7"/>
  <c r="AC354" i="7"/>
  <c r="AB354" i="7"/>
  <c r="AA354" i="7"/>
  <c r="AG353" i="7"/>
  <c r="AF353" i="7"/>
  <c r="AE353" i="7"/>
  <c r="AD353" i="7"/>
  <c r="AC353" i="7"/>
  <c r="AB353" i="7"/>
  <c r="AA353" i="7"/>
  <c r="AG352" i="7"/>
  <c r="AF352" i="7"/>
  <c r="AE352" i="7"/>
  <c r="AD352" i="7"/>
  <c r="AC352" i="7"/>
  <c r="AB352" i="7"/>
  <c r="AA352" i="7"/>
  <c r="AG351" i="7"/>
  <c r="AF351" i="7"/>
  <c r="AE351" i="7"/>
  <c r="AD351" i="7"/>
  <c r="AC351" i="7"/>
  <c r="AB351" i="7"/>
  <c r="AA351" i="7"/>
  <c r="AG350" i="7"/>
  <c r="AF350" i="7"/>
  <c r="AE350" i="7"/>
  <c r="AD350" i="7"/>
  <c r="AC350" i="7"/>
  <c r="AB350" i="7"/>
  <c r="AA350" i="7"/>
  <c r="AG349" i="7"/>
  <c r="AF349" i="7"/>
  <c r="AE349" i="7"/>
  <c r="AD349" i="7"/>
  <c r="AC349" i="7"/>
  <c r="AB349" i="7"/>
  <c r="AA349" i="7"/>
  <c r="AG348" i="7"/>
  <c r="AF348" i="7"/>
  <c r="AE348" i="7"/>
  <c r="AD348" i="7"/>
  <c r="AC348" i="7"/>
  <c r="AB348" i="7"/>
  <c r="AA348" i="7"/>
  <c r="AG347" i="7"/>
  <c r="AF347" i="7"/>
  <c r="AE347" i="7"/>
  <c r="AD347" i="7"/>
  <c r="AC347" i="7"/>
  <c r="AB347" i="7"/>
  <c r="AA347" i="7"/>
  <c r="AG346" i="7"/>
  <c r="AF346" i="7"/>
  <c r="AE346" i="7"/>
  <c r="AD346" i="7"/>
  <c r="AC346" i="7"/>
  <c r="AB346" i="7"/>
  <c r="AA346" i="7"/>
  <c r="AG345" i="7"/>
  <c r="AF345" i="7"/>
  <c r="AE345" i="7"/>
  <c r="AD345" i="7"/>
  <c r="AC345" i="7"/>
  <c r="AB345" i="7"/>
  <c r="AA345" i="7"/>
  <c r="AG344" i="7"/>
  <c r="AF344" i="7"/>
  <c r="AE344" i="7"/>
  <c r="AD344" i="7"/>
  <c r="AC344" i="7"/>
  <c r="AB344" i="7"/>
  <c r="AA344" i="7"/>
  <c r="AG343" i="7"/>
  <c r="AF343" i="7"/>
  <c r="AE343" i="7"/>
  <c r="AD343" i="7"/>
  <c r="AC343" i="7"/>
  <c r="AB343" i="7"/>
  <c r="AA343" i="7"/>
  <c r="AG342" i="7"/>
  <c r="AF342" i="7"/>
  <c r="AE342" i="7"/>
  <c r="AD342" i="7"/>
  <c r="AC342" i="7"/>
  <c r="AB342" i="7"/>
  <c r="AA342" i="7"/>
  <c r="AG341" i="7"/>
  <c r="AF341" i="7"/>
  <c r="AE341" i="7"/>
  <c r="AD341" i="7"/>
  <c r="AC341" i="7"/>
  <c r="AB341" i="7"/>
  <c r="AA341" i="7"/>
  <c r="AG340" i="7"/>
  <c r="AF340" i="7"/>
  <c r="AE340" i="7"/>
  <c r="AD340" i="7"/>
  <c r="AC340" i="7"/>
  <c r="AB340" i="7"/>
  <c r="AA340" i="7"/>
  <c r="AG339" i="7"/>
  <c r="AF339" i="7"/>
  <c r="AE339" i="7"/>
  <c r="AD339" i="7"/>
  <c r="AC339" i="7"/>
  <c r="AB339" i="7"/>
  <c r="AA339" i="7"/>
  <c r="AG338" i="7"/>
  <c r="AF338" i="7"/>
  <c r="AE338" i="7"/>
  <c r="AD338" i="7"/>
  <c r="AC338" i="7"/>
  <c r="AB338" i="7"/>
  <c r="AA338" i="7"/>
  <c r="AG337" i="7"/>
  <c r="AF337" i="7"/>
  <c r="AE337" i="7"/>
  <c r="AD337" i="7"/>
  <c r="AC337" i="7"/>
  <c r="AB337" i="7"/>
  <c r="AA337" i="7"/>
  <c r="AG336" i="7"/>
  <c r="AF336" i="7"/>
  <c r="AE336" i="7"/>
  <c r="AD336" i="7"/>
  <c r="AC336" i="7"/>
  <c r="AB336" i="7"/>
  <c r="AA336" i="7"/>
  <c r="AG335" i="7"/>
  <c r="AF335" i="7"/>
  <c r="AE335" i="7"/>
  <c r="AD335" i="7"/>
  <c r="AC335" i="7"/>
  <c r="AB335" i="7"/>
  <c r="AA335" i="7"/>
  <c r="AG334" i="7"/>
  <c r="AF334" i="7"/>
  <c r="AE334" i="7"/>
  <c r="AD334" i="7"/>
  <c r="AC334" i="7"/>
  <c r="AB334" i="7"/>
  <c r="AA334" i="7"/>
  <c r="AG333" i="7"/>
  <c r="AF333" i="7"/>
  <c r="AE333" i="7"/>
  <c r="AD333" i="7"/>
  <c r="AC333" i="7"/>
  <c r="AB333" i="7"/>
  <c r="AA333" i="7"/>
  <c r="AG332" i="7"/>
  <c r="AF332" i="7"/>
  <c r="AE332" i="7"/>
  <c r="AD332" i="7"/>
  <c r="AC332" i="7"/>
  <c r="AB332" i="7"/>
  <c r="AA332" i="7"/>
  <c r="AG331" i="7"/>
  <c r="AF331" i="7"/>
  <c r="AE331" i="7"/>
  <c r="AD331" i="7"/>
  <c r="AC331" i="7"/>
  <c r="AB331" i="7"/>
  <c r="AA331" i="7"/>
  <c r="AG330" i="7"/>
  <c r="AF330" i="7"/>
  <c r="AE330" i="7"/>
  <c r="AD330" i="7"/>
  <c r="AC330" i="7"/>
  <c r="AB330" i="7"/>
  <c r="AA330" i="7"/>
  <c r="AG329" i="7"/>
  <c r="AF329" i="7"/>
  <c r="AE329" i="7"/>
  <c r="AD329" i="7"/>
  <c r="AC329" i="7"/>
  <c r="AB329" i="7"/>
  <c r="AA329" i="7"/>
  <c r="AG328" i="7"/>
  <c r="AF328" i="7"/>
  <c r="AE328" i="7"/>
  <c r="AD328" i="7"/>
  <c r="AC328" i="7"/>
  <c r="AB328" i="7"/>
  <c r="AA328" i="7"/>
  <c r="AG327" i="7"/>
  <c r="AF327" i="7"/>
  <c r="AE327" i="7"/>
  <c r="AD327" i="7"/>
  <c r="AC327" i="7"/>
  <c r="AB327" i="7"/>
  <c r="AA327" i="7"/>
  <c r="AG326" i="7"/>
  <c r="AF326" i="7"/>
  <c r="AE326" i="7"/>
  <c r="AD326" i="7"/>
  <c r="AC326" i="7"/>
  <c r="AB326" i="7"/>
  <c r="AA326" i="7"/>
  <c r="AG325" i="7"/>
  <c r="AF325" i="7"/>
  <c r="AE325" i="7"/>
  <c r="AD325" i="7"/>
  <c r="AC325" i="7"/>
  <c r="AB325" i="7"/>
  <c r="AA325" i="7"/>
  <c r="AG324" i="7"/>
  <c r="AF324" i="7"/>
  <c r="AE324" i="7"/>
  <c r="AD324" i="7"/>
  <c r="AC324" i="7"/>
  <c r="AB324" i="7"/>
  <c r="AA324" i="7"/>
  <c r="AG323" i="7"/>
  <c r="AF323" i="7"/>
  <c r="AE323" i="7"/>
  <c r="AD323" i="7"/>
  <c r="AC323" i="7"/>
  <c r="AB323" i="7"/>
  <c r="AA323" i="7"/>
  <c r="AG322" i="7"/>
  <c r="AF322" i="7"/>
  <c r="AE322" i="7"/>
  <c r="AD322" i="7"/>
  <c r="AC322" i="7"/>
  <c r="AB322" i="7"/>
  <c r="AA322" i="7"/>
  <c r="AG321" i="7"/>
  <c r="AF321" i="7"/>
  <c r="AE321" i="7"/>
  <c r="AD321" i="7"/>
  <c r="AC321" i="7"/>
  <c r="AB321" i="7"/>
  <c r="AA321" i="7"/>
  <c r="AG320" i="7"/>
  <c r="AF320" i="7"/>
  <c r="AE320" i="7"/>
  <c r="AD320" i="7"/>
  <c r="AC320" i="7"/>
  <c r="AB320" i="7"/>
  <c r="AA320" i="7"/>
  <c r="AG319" i="7"/>
  <c r="AF319" i="7"/>
  <c r="AE319" i="7"/>
  <c r="AD319" i="7"/>
  <c r="AC319" i="7"/>
  <c r="AB319" i="7"/>
  <c r="AA319" i="7"/>
  <c r="AG318" i="7"/>
  <c r="AF318" i="7"/>
  <c r="AE318" i="7"/>
  <c r="AD318" i="7"/>
  <c r="AC318" i="7"/>
  <c r="AB318" i="7"/>
  <c r="AA318" i="7"/>
  <c r="AG317" i="7"/>
  <c r="AF317" i="7"/>
  <c r="AE317" i="7"/>
  <c r="AD317" i="7"/>
  <c r="AC317" i="7"/>
  <c r="AB317" i="7"/>
  <c r="AA317" i="7"/>
  <c r="AG316" i="7"/>
  <c r="AF316" i="7"/>
  <c r="AE316" i="7"/>
  <c r="AD316" i="7"/>
  <c r="AC316" i="7"/>
  <c r="AB316" i="7"/>
  <c r="AA316" i="7"/>
  <c r="AG315" i="7"/>
  <c r="AF315" i="7"/>
  <c r="AE315" i="7"/>
  <c r="AD315" i="7"/>
  <c r="AC315" i="7"/>
  <c r="AB315" i="7"/>
  <c r="AA315" i="7"/>
  <c r="AG314" i="7"/>
  <c r="AF314" i="7"/>
  <c r="AE314" i="7"/>
  <c r="AD314" i="7"/>
  <c r="AC314" i="7"/>
  <c r="AB314" i="7"/>
  <c r="AA314" i="7"/>
  <c r="AG313" i="7"/>
  <c r="AF313" i="7"/>
  <c r="AE313" i="7"/>
  <c r="AD313" i="7"/>
  <c r="AC313" i="7"/>
  <c r="AB313" i="7"/>
  <c r="AA313" i="7"/>
  <c r="AG312" i="7"/>
  <c r="AF312" i="7"/>
  <c r="AE312" i="7"/>
  <c r="AD312" i="7"/>
  <c r="AC312" i="7"/>
  <c r="AB312" i="7"/>
  <c r="AA312" i="7"/>
  <c r="AG311" i="7"/>
  <c r="AF311" i="7"/>
  <c r="AE311" i="7"/>
  <c r="AD311" i="7"/>
  <c r="AC311" i="7"/>
  <c r="AB311" i="7"/>
  <c r="AA311" i="7"/>
  <c r="AG310" i="7"/>
  <c r="AF310" i="7"/>
  <c r="AE310" i="7"/>
  <c r="AD310" i="7"/>
  <c r="AC310" i="7"/>
  <c r="AB310" i="7"/>
  <c r="AA310" i="7"/>
  <c r="AG309" i="7"/>
  <c r="AF309" i="7"/>
  <c r="AE309" i="7"/>
  <c r="AD309" i="7"/>
  <c r="AC309" i="7"/>
  <c r="AB309" i="7"/>
  <c r="AA309" i="7"/>
  <c r="AG308" i="7"/>
  <c r="AF308" i="7"/>
  <c r="AE308" i="7"/>
  <c r="AD308" i="7"/>
  <c r="AC308" i="7"/>
  <c r="AB308" i="7"/>
  <c r="AA308" i="7"/>
  <c r="AG307" i="7"/>
  <c r="AF307" i="7"/>
  <c r="AE307" i="7"/>
  <c r="AD307" i="7"/>
  <c r="AC307" i="7"/>
  <c r="AB307" i="7"/>
  <c r="AA307" i="7"/>
  <c r="AG306" i="7"/>
  <c r="AF306" i="7"/>
  <c r="AE306" i="7"/>
  <c r="AD306" i="7"/>
  <c r="AC306" i="7"/>
  <c r="AB306" i="7"/>
  <c r="AA306" i="7"/>
  <c r="AG305" i="7"/>
  <c r="AF305" i="7"/>
  <c r="AE305" i="7"/>
  <c r="AD305" i="7"/>
  <c r="AC305" i="7"/>
  <c r="AB305" i="7"/>
  <c r="AA305" i="7"/>
  <c r="AG304" i="7"/>
  <c r="AF304" i="7"/>
  <c r="AE304" i="7"/>
  <c r="AD304" i="7"/>
  <c r="AC304" i="7"/>
  <c r="AB304" i="7"/>
  <c r="AA304" i="7"/>
  <c r="AG303" i="7"/>
  <c r="AF303" i="7"/>
  <c r="AE303" i="7"/>
  <c r="AD303" i="7"/>
  <c r="AC303" i="7"/>
  <c r="AB303" i="7"/>
  <c r="AA303" i="7"/>
  <c r="AG302" i="7"/>
  <c r="AF302" i="7"/>
  <c r="AE302" i="7"/>
  <c r="AD302" i="7"/>
  <c r="AC302" i="7"/>
  <c r="AB302" i="7"/>
  <c r="AA302" i="7"/>
  <c r="AG301" i="7"/>
  <c r="AF301" i="7"/>
  <c r="AE301" i="7"/>
  <c r="AD301" i="7"/>
  <c r="AC301" i="7"/>
  <c r="AB301" i="7"/>
  <c r="AA301" i="7"/>
  <c r="AG300" i="7"/>
  <c r="AF300" i="7"/>
  <c r="AE300" i="7"/>
  <c r="AD300" i="7"/>
  <c r="AC300" i="7"/>
  <c r="AB300" i="7"/>
  <c r="AA300" i="7"/>
  <c r="AG299" i="7"/>
  <c r="AF299" i="7"/>
  <c r="AE299" i="7"/>
  <c r="AD299" i="7"/>
  <c r="AC299" i="7"/>
  <c r="AB299" i="7"/>
  <c r="AA299" i="7"/>
  <c r="AG298" i="7"/>
  <c r="AF298" i="7"/>
  <c r="AE298" i="7"/>
  <c r="AD298" i="7"/>
  <c r="AC298" i="7"/>
  <c r="AB298" i="7"/>
  <c r="AA298" i="7"/>
  <c r="AG297" i="7"/>
  <c r="AF297" i="7"/>
  <c r="AE297" i="7"/>
  <c r="AD297" i="7"/>
  <c r="AC297" i="7"/>
  <c r="AB297" i="7"/>
  <c r="AA297" i="7"/>
  <c r="AG296" i="7"/>
  <c r="AF296" i="7"/>
  <c r="AE296" i="7"/>
  <c r="AD296" i="7"/>
  <c r="AC296" i="7"/>
  <c r="AB296" i="7"/>
  <c r="AA296" i="7"/>
  <c r="AG295" i="7"/>
  <c r="AF295" i="7"/>
  <c r="AE295" i="7"/>
  <c r="AD295" i="7"/>
  <c r="AC295" i="7"/>
  <c r="AB295" i="7"/>
  <c r="AA295" i="7"/>
  <c r="AG294" i="7"/>
  <c r="AF294" i="7"/>
  <c r="AE294" i="7"/>
  <c r="AD294" i="7"/>
  <c r="AC294" i="7"/>
  <c r="AB294" i="7"/>
  <c r="AA294" i="7"/>
  <c r="AG293" i="7"/>
  <c r="AF293" i="7"/>
  <c r="AE293" i="7"/>
  <c r="AD293" i="7"/>
  <c r="AC293" i="7"/>
  <c r="AB293" i="7"/>
  <c r="AA293" i="7"/>
  <c r="AG292" i="7"/>
  <c r="AF292" i="7"/>
  <c r="AE292" i="7"/>
  <c r="AD292" i="7"/>
  <c r="AC292" i="7"/>
  <c r="AB292" i="7"/>
  <c r="AA292" i="7"/>
  <c r="AG291" i="7"/>
  <c r="AF291" i="7"/>
  <c r="AE291" i="7"/>
  <c r="AD291" i="7"/>
  <c r="AC291" i="7"/>
  <c r="AB291" i="7"/>
  <c r="AA291" i="7"/>
  <c r="AG290" i="7"/>
  <c r="AF290" i="7"/>
  <c r="AE290" i="7"/>
  <c r="AD290" i="7"/>
  <c r="AC290" i="7"/>
  <c r="AB290" i="7"/>
  <c r="AA290" i="7"/>
  <c r="AG289" i="7"/>
  <c r="AF289" i="7"/>
  <c r="AE289" i="7"/>
  <c r="AD289" i="7"/>
  <c r="AC289" i="7"/>
  <c r="AB289" i="7"/>
  <c r="AA289" i="7"/>
  <c r="AG288" i="7"/>
  <c r="AF288" i="7"/>
  <c r="AE288" i="7"/>
  <c r="AD288" i="7"/>
  <c r="AC288" i="7"/>
  <c r="AB288" i="7"/>
  <c r="AA288" i="7"/>
  <c r="AG287" i="7"/>
  <c r="AF287" i="7"/>
  <c r="AE287" i="7"/>
  <c r="AD287" i="7"/>
  <c r="AC287" i="7"/>
  <c r="AB287" i="7"/>
  <c r="AA287" i="7"/>
  <c r="AG286" i="7"/>
  <c r="AF286" i="7"/>
  <c r="AE286" i="7"/>
  <c r="AD286" i="7"/>
  <c r="AC286" i="7"/>
  <c r="AB286" i="7"/>
  <c r="AA286" i="7"/>
  <c r="AG285" i="7"/>
  <c r="AF285" i="7"/>
  <c r="AE285" i="7"/>
  <c r="AD285" i="7"/>
  <c r="AC285" i="7"/>
  <c r="AB285" i="7"/>
  <c r="AA285" i="7"/>
  <c r="AG284" i="7"/>
  <c r="AF284" i="7"/>
  <c r="AE284" i="7"/>
  <c r="AD284" i="7"/>
  <c r="AC284" i="7"/>
  <c r="AB284" i="7"/>
  <c r="AA284" i="7"/>
  <c r="AG283" i="7"/>
  <c r="AF283" i="7"/>
  <c r="AE283" i="7"/>
  <c r="AD283" i="7"/>
  <c r="AC283" i="7"/>
  <c r="AB283" i="7"/>
  <c r="AA283" i="7"/>
  <c r="AG282" i="7"/>
  <c r="AF282" i="7"/>
  <c r="AE282" i="7"/>
  <c r="AD282" i="7"/>
  <c r="AC282" i="7"/>
  <c r="AB282" i="7"/>
  <c r="AA282" i="7"/>
  <c r="AG281" i="7"/>
  <c r="AF281" i="7"/>
  <c r="AE281" i="7"/>
  <c r="AD281" i="7"/>
  <c r="AC281" i="7"/>
  <c r="AB281" i="7"/>
  <c r="AA281" i="7"/>
  <c r="AG280" i="7"/>
  <c r="AF280" i="7"/>
  <c r="AE280" i="7"/>
  <c r="AD280" i="7"/>
  <c r="AC280" i="7"/>
  <c r="AB280" i="7"/>
  <c r="AA280" i="7"/>
  <c r="AG279" i="7"/>
  <c r="AF279" i="7"/>
  <c r="AE279" i="7"/>
  <c r="AD279" i="7"/>
  <c r="AC279" i="7"/>
  <c r="AB279" i="7"/>
  <c r="AA279" i="7"/>
  <c r="AG278" i="7"/>
  <c r="AF278" i="7"/>
  <c r="AE278" i="7"/>
  <c r="AD278" i="7"/>
  <c r="AC278" i="7"/>
  <c r="AB278" i="7"/>
  <c r="AA278" i="7"/>
  <c r="AG277" i="7"/>
  <c r="AF277" i="7"/>
  <c r="AE277" i="7"/>
  <c r="AD277" i="7"/>
  <c r="AC277" i="7"/>
  <c r="AB277" i="7"/>
  <c r="AA277" i="7"/>
  <c r="AG276" i="7"/>
  <c r="AF276" i="7"/>
  <c r="AE276" i="7"/>
  <c r="AD276" i="7"/>
  <c r="AC276" i="7"/>
  <c r="AB276" i="7"/>
  <c r="AA276" i="7"/>
  <c r="AG275" i="7"/>
  <c r="AF275" i="7"/>
  <c r="AE275" i="7"/>
  <c r="AD275" i="7"/>
  <c r="AC275" i="7"/>
  <c r="AB275" i="7"/>
  <c r="AA275" i="7"/>
  <c r="AG274" i="7"/>
  <c r="AF274" i="7"/>
  <c r="AE274" i="7"/>
  <c r="AD274" i="7"/>
  <c r="AC274" i="7"/>
  <c r="AB274" i="7"/>
  <c r="AA274" i="7"/>
  <c r="AG273" i="7"/>
  <c r="AF273" i="7"/>
  <c r="AE273" i="7"/>
  <c r="AD273" i="7"/>
  <c r="AC273" i="7"/>
  <c r="AB273" i="7"/>
  <c r="AA273" i="7"/>
  <c r="AG272" i="7"/>
  <c r="AF272" i="7"/>
  <c r="AE272" i="7"/>
  <c r="AD272" i="7"/>
  <c r="AC272" i="7"/>
  <c r="AB272" i="7"/>
  <c r="AA272" i="7"/>
  <c r="AG271" i="7"/>
  <c r="AF271" i="7"/>
  <c r="AE271" i="7"/>
  <c r="AD271" i="7"/>
  <c r="AC271" i="7"/>
  <c r="AB271" i="7"/>
  <c r="AA271" i="7"/>
  <c r="AG270" i="7"/>
  <c r="AF270" i="7"/>
  <c r="AE270" i="7"/>
  <c r="AD270" i="7"/>
  <c r="AC270" i="7"/>
  <c r="AB270" i="7"/>
  <c r="AA270" i="7"/>
  <c r="AG269" i="7"/>
  <c r="AF269" i="7"/>
  <c r="AE269" i="7"/>
  <c r="AD269" i="7"/>
  <c r="AC269" i="7"/>
  <c r="AB269" i="7"/>
  <c r="AA269" i="7"/>
  <c r="AG268" i="7"/>
  <c r="AF268" i="7"/>
  <c r="AE268" i="7"/>
  <c r="AD268" i="7"/>
  <c r="AC268" i="7"/>
  <c r="AB268" i="7"/>
  <c r="AA268" i="7"/>
  <c r="AG267" i="7"/>
  <c r="AF267" i="7"/>
  <c r="AE267" i="7"/>
  <c r="AD267" i="7"/>
  <c r="AC267" i="7"/>
  <c r="AB267" i="7"/>
  <c r="AA267" i="7"/>
  <c r="AG266" i="7"/>
  <c r="AF266" i="7"/>
  <c r="AE266" i="7"/>
  <c r="AD266" i="7"/>
  <c r="AC266" i="7"/>
  <c r="AB266" i="7"/>
  <c r="AA266" i="7"/>
  <c r="AG265" i="7"/>
  <c r="AF265" i="7"/>
  <c r="AE265" i="7"/>
  <c r="AD265" i="7"/>
  <c r="AC265" i="7"/>
  <c r="AB265" i="7"/>
  <c r="AA265" i="7"/>
  <c r="AG264" i="7"/>
  <c r="AF264" i="7"/>
  <c r="AE264" i="7"/>
  <c r="AD264" i="7"/>
  <c r="AC264" i="7"/>
  <c r="AB264" i="7"/>
  <c r="AA264" i="7"/>
  <c r="AG263" i="7"/>
  <c r="AF263" i="7"/>
  <c r="AE263" i="7"/>
  <c r="AD263" i="7"/>
  <c r="AC263" i="7"/>
  <c r="AB263" i="7"/>
  <c r="AA263" i="7"/>
  <c r="AG262" i="7"/>
  <c r="AF262" i="7"/>
  <c r="AE262" i="7"/>
  <c r="AD262" i="7"/>
  <c r="AC262" i="7"/>
  <c r="AB262" i="7"/>
  <c r="AA262" i="7"/>
  <c r="AG261" i="7"/>
  <c r="AF261" i="7"/>
  <c r="AE261" i="7"/>
  <c r="AD261" i="7"/>
  <c r="AC261" i="7"/>
  <c r="AB261" i="7"/>
  <c r="AA261" i="7"/>
  <c r="AG260" i="7"/>
  <c r="AF260" i="7"/>
  <c r="AE260" i="7"/>
  <c r="AD260" i="7"/>
  <c r="AC260" i="7"/>
  <c r="AB260" i="7"/>
  <c r="AA260" i="7"/>
  <c r="AG259" i="7"/>
  <c r="AF259" i="7"/>
  <c r="AE259" i="7"/>
  <c r="AD259" i="7"/>
  <c r="AC259" i="7"/>
  <c r="AB259" i="7"/>
  <c r="AA259" i="7"/>
  <c r="AG258" i="7"/>
  <c r="AF258" i="7"/>
  <c r="AE258" i="7"/>
  <c r="AD258" i="7"/>
  <c r="AC258" i="7"/>
  <c r="AB258" i="7"/>
  <c r="AA258" i="7"/>
  <c r="AG257" i="7"/>
  <c r="AF257" i="7"/>
  <c r="AE257" i="7"/>
  <c r="AD257" i="7"/>
  <c r="AC257" i="7"/>
  <c r="AB257" i="7"/>
  <c r="AA257" i="7"/>
  <c r="AG256" i="7"/>
  <c r="AF256" i="7"/>
  <c r="AE256" i="7"/>
  <c r="AD256" i="7"/>
  <c r="AC256" i="7"/>
  <c r="AB256" i="7"/>
  <c r="AA256" i="7"/>
  <c r="AG255" i="7"/>
  <c r="AF255" i="7"/>
  <c r="AE255" i="7"/>
  <c r="AD255" i="7"/>
  <c r="AC255" i="7"/>
  <c r="AB255" i="7"/>
  <c r="AA255" i="7"/>
  <c r="AG254" i="7"/>
  <c r="AF254" i="7"/>
  <c r="AE254" i="7"/>
  <c r="AD254" i="7"/>
  <c r="AC254" i="7"/>
  <c r="AB254" i="7"/>
  <c r="AA254" i="7"/>
  <c r="AG253" i="7"/>
  <c r="AF253" i="7"/>
  <c r="AE253" i="7"/>
  <c r="AD253" i="7"/>
  <c r="AC253" i="7"/>
  <c r="AB253" i="7"/>
  <c r="AA253" i="7"/>
  <c r="AG252" i="7"/>
  <c r="AF252" i="7"/>
  <c r="AE252" i="7"/>
  <c r="AD252" i="7"/>
  <c r="AC252" i="7"/>
  <c r="AB252" i="7"/>
  <c r="AA252" i="7"/>
  <c r="AG251" i="7"/>
  <c r="AF251" i="7"/>
  <c r="AE251" i="7"/>
  <c r="AD251" i="7"/>
  <c r="AC251" i="7"/>
  <c r="AB251" i="7"/>
  <c r="AA251" i="7"/>
  <c r="AG250" i="7"/>
  <c r="AF250" i="7"/>
  <c r="AE250" i="7"/>
  <c r="AD250" i="7"/>
  <c r="AC250" i="7"/>
  <c r="AB250" i="7"/>
  <c r="AA250" i="7"/>
  <c r="AG249" i="7"/>
  <c r="AF249" i="7"/>
  <c r="AE249" i="7"/>
  <c r="AD249" i="7"/>
  <c r="AC249" i="7"/>
  <c r="AB249" i="7"/>
  <c r="AA249" i="7"/>
  <c r="AG248" i="7"/>
  <c r="AF248" i="7"/>
  <c r="AE248" i="7"/>
  <c r="AD248" i="7"/>
  <c r="AC248" i="7"/>
  <c r="AB248" i="7"/>
  <c r="AA248" i="7"/>
  <c r="AG247" i="7"/>
  <c r="AF247" i="7"/>
  <c r="AE247" i="7"/>
  <c r="AD247" i="7"/>
  <c r="AC247" i="7"/>
  <c r="AB247" i="7"/>
  <c r="AA247" i="7"/>
  <c r="AG246" i="7"/>
  <c r="AF246" i="7"/>
  <c r="AE246" i="7"/>
  <c r="AD246" i="7"/>
  <c r="AC246" i="7"/>
  <c r="AB246" i="7"/>
  <c r="AA246" i="7"/>
  <c r="AG245" i="7"/>
  <c r="AF245" i="7"/>
  <c r="AE245" i="7"/>
  <c r="AD245" i="7"/>
  <c r="AC245" i="7"/>
  <c r="AB245" i="7"/>
  <c r="AA245" i="7"/>
  <c r="AG244" i="7"/>
  <c r="AF244" i="7"/>
  <c r="AE244" i="7"/>
  <c r="AD244" i="7"/>
  <c r="AC244" i="7"/>
  <c r="AB244" i="7"/>
  <c r="AA244" i="7"/>
  <c r="AG243" i="7"/>
  <c r="AF243" i="7"/>
  <c r="AE243" i="7"/>
  <c r="AD243" i="7"/>
  <c r="AC243" i="7"/>
  <c r="AB243" i="7"/>
  <c r="AA243" i="7"/>
  <c r="AG242" i="7"/>
  <c r="AF242" i="7"/>
  <c r="AE242" i="7"/>
  <c r="AD242" i="7"/>
  <c r="AC242" i="7"/>
  <c r="AB242" i="7"/>
  <c r="AA242" i="7"/>
  <c r="AG241" i="7"/>
  <c r="AF241" i="7"/>
  <c r="AE241" i="7"/>
  <c r="AD241" i="7"/>
  <c r="AC241" i="7"/>
  <c r="AB241" i="7"/>
  <c r="AA241" i="7"/>
  <c r="AG240" i="7"/>
  <c r="AF240" i="7"/>
  <c r="AE240" i="7"/>
  <c r="AD240" i="7"/>
  <c r="AC240" i="7"/>
  <c r="AB240" i="7"/>
  <c r="AA240" i="7"/>
  <c r="AG239" i="7"/>
  <c r="AF239" i="7"/>
  <c r="AE239" i="7"/>
  <c r="AD239" i="7"/>
  <c r="AC239" i="7"/>
  <c r="AB239" i="7"/>
  <c r="AA239" i="7"/>
  <c r="AG238" i="7"/>
  <c r="AF238" i="7"/>
  <c r="AE238" i="7"/>
  <c r="AD238" i="7"/>
  <c r="AC238" i="7"/>
  <c r="AB238" i="7"/>
  <c r="AA238" i="7"/>
  <c r="AG237" i="7"/>
  <c r="AF237" i="7"/>
  <c r="AE237" i="7"/>
  <c r="AD237" i="7"/>
  <c r="AC237" i="7"/>
  <c r="AB237" i="7"/>
  <c r="AA237" i="7"/>
  <c r="AG236" i="7"/>
  <c r="AF236" i="7"/>
  <c r="AE236" i="7"/>
  <c r="AD236" i="7"/>
  <c r="AC236" i="7"/>
  <c r="AB236" i="7"/>
  <c r="AA236" i="7"/>
  <c r="AG235" i="7"/>
  <c r="AF235" i="7"/>
  <c r="AE235" i="7"/>
  <c r="AD235" i="7"/>
  <c r="AC235" i="7"/>
  <c r="AB235" i="7"/>
  <c r="AA235" i="7"/>
  <c r="AG234" i="7"/>
  <c r="AF234" i="7"/>
  <c r="AE234" i="7"/>
  <c r="AD234" i="7"/>
  <c r="AC234" i="7"/>
  <c r="AB234" i="7"/>
  <c r="AA234" i="7"/>
  <c r="AG233" i="7"/>
  <c r="AF233" i="7"/>
  <c r="AE233" i="7"/>
  <c r="AD233" i="7"/>
  <c r="AC233" i="7"/>
  <c r="AB233" i="7"/>
  <c r="AA233" i="7"/>
  <c r="AG232" i="7"/>
  <c r="AF232" i="7"/>
  <c r="AE232" i="7"/>
  <c r="AD232" i="7"/>
  <c r="AC232" i="7"/>
  <c r="AB232" i="7"/>
  <c r="AA232" i="7"/>
  <c r="AG231" i="7"/>
  <c r="AF231" i="7"/>
  <c r="AE231" i="7"/>
  <c r="AD231" i="7"/>
  <c r="AC231" i="7"/>
  <c r="AB231" i="7"/>
  <c r="AA231" i="7"/>
  <c r="AG230" i="7"/>
  <c r="AF230" i="7"/>
  <c r="AE230" i="7"/>
  <c r="AD230" i="7"/>
  <c r="AC230" i="7"/>
  <c r="AB230" i="7"/>
  <c r="AA230" i="7"/>
  <c r="AG229" i="7"/>
  <c r="AF229" i="7"/>
  <c r="AE229" i="7"/>
  <c r="AD229" i="7"/>
  <c r="AC229" i="7"/>
  <c r="AB229" i="7"/>
  <c r="AA229" i="7"/>
  <c r="AG228" i="7"/>
  <c r="AF228" i="7"/>
  <c r="AE228" i="7"/>
  <c r="AD228" i="7"/>
  <c r="AC228" i="7"/>
  <c r="AB228" i="7"/>
  <c r="AA228" i="7"/>
  <c r="AG227" i="7"/>
  <c r="AF227" i="7"/>
  <c r="AE227" i="7"/>
  <c r="AD227" i="7"/>
  <c r="AC227" i="7"/>
  <c r="AB227" i="7"/>
  <c r="AA227" i="7"/>
  <c r="AG226" i="7"/>
  <c r="AF226" i="7"/>
  <c r="AE226" i="7"/>
  <c r="AD226" i="7"/>
  <c r="AC226" i="7"/>
  <c r="AB226" i="7"/>
  <c r="AA226" i="7"/>
  <c r="AG225" i="7"/>
  <c r="AF225" i="7"/>
  <c r="AE225" i="7"/>
  <c r="AD225" i="7"/>
  <c r="AC225" i="7"/>
  <c r="AB225" i="7"/>
  <c r="AA225" i="7"/>
  <c r="AG224" i="7"/>
  <c r="AF224" i="7"/>
  <c r="AE224" i="7"/>
  <c r="AD224" i="7"/>
  <c r="AC224" i="7"/>
  <c r="AB224" i="7"/>
  <c r="AA224" i="7"/>
  <c r="AG223" i="7"/>
  <c r="AF223" i="7"/>
  <c r="AE223" i="7"/>
  <c r="AD223" i="7"/>
  <c r="AC223" i="7"/>
  <c r="AB223" i="7"/>
  <c r="AA223" i="7"/>
  <c r="AG222" i="7"/>
  <c r="AF222" i="7"/>
  <c r="AE222" i="7"/>
  <c r="AD222" i="7"/>
  <c r="AC222" i="7"/>
  <c r="AB222" i="7"/>
  <c r="AA222" i="7"/>
  <c r="AG221" i="7"/>
  <c r="AF221" i="7"/>
  <c r="AE221" i="7"/>
  <c r="AD221" i="7"/>
  <c r="AC221" i="7"/>
  <c r="AB221" i="7"/>
  <c r="AA221" i="7"/>
  <c r="AG220" i="7"/>
  <c r="AF220" i="7"/>
  <c r="AE220" i="7"/>
  <c r="AD220" i="7"/>
  <c r="AC220" i="7"/>
  <c r="AB220" i="7"/>
  <c r="AA220" i="7"/>
  <c r="AG219" i="7"/>
  <c r="AF219" i="7"/>
  <c r="AE219" i="7"/>
  <c r="AD219" i="7"/>
  <c r="AC219" i="7"/>
  <c r="AB219" i="7"/>
  <c r="AA219" i="7"/>
  <c r="AG218" i="7"/>
  <c r="AF218" i="7"/>
  <c r="AE218" i="7"/>
  <c r="AD218" i="7"/>
  <c r="AC218" i="7"/>
  <c r="AB218" i="7"/>
  <c r="AA218" i="7"/>
  <c r="AG217" i="7"/>
  <c r="AF217" i="7"/>
  <c r="AE217" i="7"/>
  <c r="AD217" i="7"/>
  <c r="AC217" i="7"/>
  <c r="AB217" i="7"/>
  <c r="AA217" i="7"/>
  <c r="AG216" i="7"/>
  <c r="AF216" i="7"/>
  <c r="AE216" i="7"/>
  <c r="AD216" i="7"/>
  <c r="AC216" i="7"/>
  <c r="AB216" i="7"/>
  <c r="AA216" i="7"/>
  <c r="AG215" i="7"/>
  <c r="AF215" i="7"/>
  <c r="AE215" i="7"/>
  <c r="AD215" i="7"/>
  <c r="AC215" i="7"/>
  <c r="AB215" i="7"/>
  <c r="AA215" i="7"/>
  <c r="AG214" i="7"/>
  <c r="AF214" i="7"/>
  <c r="AE214" i="7"/>
  <c r="AD214" i="7"/>
  <c r="AC214" i="7"/>
  <c r="AB214" i="7"/>
  <c r="AA214" i="7"/>
  <c r="AG213" i="7"/>
  <c r="AF213" i="7"/>
  <c r="AE213" i="7"/>
  <c r="AD213" i="7"/>
  <c r="AC213" i="7"/>
  <c r="AB213" i="7"/>
  <c r="AA213" i="7"/>
  <c r="AG212" i="7"/>
  <c r="AF212" i="7"/>
  <c r="AE212" i="7"/>
  <c r="AD212" i="7"/>
  <c r="AC212" i="7"/>
  <c r="AB212" i="7"/>
  <c r="AA212" i="7"/>
  <c r="AG211" i="7"/>
  <c r="AF211" i="7"/>
  <c r="AE211" i="7"/>
  <c r="AD211" i="7"/>
  <c r="AC211" i="7"/>
  <c r="AB211" i="7"/>
  <c r="AA211" i="7"/>
  <c r="AG210" i="7"/>
  <c r="AF210" i="7"/>
  <c r="AE210" i="7"/>
  <c r="AD210" i="7"/>
  <c r="AC210" i="7"/>
  <c r="AB210" i="7"/>
  <c r="AA210" i="7"/>
  <c r="AG209" i="7"/>
  <c r="AF209" i="7"/>
  <c r="AE209" i="7"/>
  <c r="AD209" i="7"/>
  <c r="AC209" i="7"/>
  <c r="AB209" i="7"/>
  <c r="AA209" i="7"/>
  <c r="AG208" i="7"/>
  <c r="AF208" i="7"/>
  <c r="AE208" i="7"/>
  <c r="AD208" i="7"/>
  <c r="AC208" i="7"/>
  <c r="AB208" i="7"/>
  <c r="AA208" i="7"/>
  <c r="AG207" i="7"/>
  <c r="AF207" i="7"/>
  <c r="AE207" i="7"/>
  <c r="AD207" i="7"/>
  <c r="AC207" i="7"/>
  <c r="AB207" i="7"/>
  <c r="AA207" i="7"/>
  <c r="AG206" i="7"/>
  <c r="AF206" i="7"/>
  <c r="AE206" i="7"/>
  <c r="AD206" i="7"/>
  <c r="AC206" i="7"/>
  <c r="AB206" i="7"/>
  <c r="AA206" i="7"/>
  <c r="AG205" i="7"/>
  <c r="AF205" i="7"/>
  <c r="AE205" i="7"/>
  <c r="AD205" i="7"/>
  <c r="AC205" i="7"/>
  <c r="AB205" i="7"/>
  <c r="AA205" i="7"/>
  <c r="AG204" i="7"/>
  <c r="AF204" i="7"/>
  <c r="AE204" i="7"/>
  <c r="AD204" i="7"/>
  <c r="AC204" i="7"/>
  <c r="AB204" i="7"/>
  <c r="AA204" i="7"/>
  <c r="AG203" i="7"/>
  <c r="AF203" i="7"/>
  <c r="AE203" i="7"/>
  <c r="AD203" i="7"/>
  <c r="AC203" i="7"/>
  <c r="AB203" i="7"/>
  <c r="AA203" i="7"/>
  <c r="AG202" i="7"/>
  <c r="AF202" i="7"/>
  <c r="AE202" i="7"/>
  <c r="AD202" i="7"/>
  <c r="AC202" i="7"/>
  <c r="AB202" i="7"/>
  <c r="AA202" i="7"/>
  <c r="AG201" i="7"/>
  <c r="AF201" i="7"/>
  <c r="AE201" i="7"/>
  <c r="AD201" i="7"/>
  <c r="AC201" i="7"/>
  <c r="AB201" i="7"/>
  <c r="AA201" i="7"/>
  <c r="AG200" i="7"/>
  <c r="AF200" i="7"/>
  <c r="AE200" i="7"/>
  <c r="AD200" i="7"/>
  <c r="AC200" i="7"/>
  <c r="AB200" i="7"/>
  <c r="AA200" i="7"/>
  <c r="AG199" i="7"/>
  <c r="AF199" i="7"/>
  <c r="AE199" i="7"/>
  <c r="AD199" i="7"/>
  <c r="AC199" i="7"/>
  <c r="AB199" i="7"/>
  <c r="AA199" i="7"/>
  <c r="AG198" i="7"/>
  <c r="AF198" i="7"/>
  <c r="AE198" i="7"/>
  <c r="AD198" i="7"/>
  <c r="AC198" i="7"/>
  <c r="AB198" i="7"/>
  <c r="AA198" i="7"/>
  <c r="AG197" i="7"/>
  <c r="AF197" i="7"/>
  <c r="AE197" i="7"/>
  <c r="AD197" i="7"/>
  <c r="AC197" i="7"/>
  <c r="AB197" i="7"/>
  <c r="AA197" i="7"/>
  <c r="AG196" i="7"/>
  <c r="AF196" i="7"/>
  <c r="AE196" i="7"/>
  <c r="AD196" i="7"/>
  <c r="AC196" i="7"/>
  <c r="AB196" i="7"/>
  <c r="AA196" i="7"/>
  <c r="AG195" i="7"/>
  <c r="AF195" i="7"/>
  <c r="AE195" i="7"/>
  <c r="AD195" i="7"/>
  <c r="AC195" i="7"/>
  <c r="AB195" i="7"/>
  <c r="AA195" i="7"/>
  <c r="AG194" i="7"/>
  <c r="AF194" i="7"/>
  <c r="AE194" i="7"/>
  <c r="AD194" i="7"/>
  <c r="AC194" i="7"/>
  <c r="AB194" i="7"/>
  <c r="AA194" i="7"/>
  <c r="AG193" i="7"/>
  <c r="AF193" i="7"/>
  <c r="AE193" i="7"/>
  <c r="AD193" i="7"/>
  <c r="AC193" i="7"/>
  <c r="AB193" i="7"/>
  <c r="AA193" i="7"/>
  <c r="AG192" i="7"/>
  <c r="AF192" i="7"/>
  <c r="AE192" i="7"/>
  <c r="AD192" i="7"/>
  <c r="AC192" i="7"/>
  <c r="AB192" i="7"/>
  <c r="AA192" i="7"/>
  <c r="AG191" i="7"/>
  <c r="AF191" i="7"/>
  <c r="AE191" i="7"/>
  <c r="AD191" i="7"/>
  <c r="AC191" i="7"/>
  <c r="AB191" i="7"/>
  <c r="AA191" i="7"/>
  <c r="AG190" i="7"/>
  <c r="AF190" i="7"/>
  <c r="AE190" i="7"/>
  <c r="AD190" i="7"/>
  <c r="AC190" i="7"/>
  <c r="AB190" i="7"/>
  <c r="AA190" i="7"/>
  <c r="AG189" i="7"/>
  <c r="AF189" i="7"/>
  <c r="AE189" i="7"/>
  <c r="AD189" i="7"/>
  <c r="AC189" i="7"/>
  <c r="AB189" i="7"/>
  <c r="AA189" i="7"/>
  <c r="AG188" i="7"/>
  <c r="AF188" i="7"/>
  <c r="AE188" i="7"/>
  <c r="AD188" i="7"/>
  <c r="AC188" i="7"/>
  <c r="AB188" i="7"/>
  <c r="AA188" i="7"/>
  <c r="AG187" i="7"/>
  <c r="AF187" i="7"/>
  <c r="AE187" i="7"/>
  <c r="AD187" i="7"/>
  <c r="AC187" i="7"/>
  <c r="AB187" i="7"/>
  <c r="AA187" i="7"/>
  <c r="AG186" i="7"/>
  <c r="AF186" i="7"/>
  <c r="AE186" i="7"/>
  <c r="AD186" i="7"/>
  <c r="AC186" i="7"/>
  <c r="AB186" i="7"/>
  <c r="AA186" i="7"/>
  <c r="AG185" i="7"/>
  <c r="AF185" i="7"/>
  <c r="AE185" i="7"/>
  <c r="AD185" i="7"/>
  <c r="AC185" i="7"/>
  <c r="AB185" i="7"/>
  <c r="AA185" i="7"/>
  <c r="AG184" i="7"/>
  <c r="AF184" i="7"/>
  <c r="AE184" i="7"/>
  <c r="AD184" i="7"/>
  <c r="AC184" i="7"/>
  <c r="AB184" i="7"/>
  <c r="AA184" i="7"/>
  <c r="AG183" i="7"/>
  <c r="AF183" i="7"/>
  <c r="AE183" i="7"/>
  <c r="AD183" i="7"/>
  <c r="AC183" i="7"/>
  <c r="AB183" i="7"/>
  <c r="AA183" i="7"/>
  <c r="AG182" i="7"/>
  <c r="AF182" i="7"/>
  <c r="AE182" i="7"/>
  <c r="AD182" i="7"/>
  <c r="AC182" i="7"/>
  <c r="AB182" i="7"/>
  <c r="AA182" i="7"/>
  <c r="AG181" i="7"/>
  <c r="AF181" i="7"/>
  <c r="AE181" i="7"/>
  <c r="AD181" i="7"/>
  <c r="AC181" i="7"/>
  <c r="AB181" i="7"/>
  <c r="AA181" i="7"/>
  <c r="AG180" i="7"/>
  <c r="AF180" i="7"/>
  <c r="AE180" i="7"/>
  <c r="AD180" i="7"/>
  <c r="AC180" i="7"/>
  <c r="AB180" i="7"/>
  <c r="AA180" i="7"/>
  <c r="AG179" i="7"/>
  <c r="AF179" i="7"/>
  <c r="AE179" i="7"/>
  <c r="AD179" i="7"/>
  <c r="AC179" i="7"/>
  <c r="AB179" i="7"/>
  <c r="AA179" i="7"/>
  <c r="AG178" i="7"/>
  <c r="AF178" i="7"/>
  <c r="AE178" i="7"/>
  <c r="AD178" i="7"/>
  <c r="AC178" i="7"/>
  <c r="AB178" i="7"/>
  <c r="AA178" i="7"/>
  <c r="AG177" i="7"/>
  <c r="AF177" i="7"/>
  <c r="AE177" i="7"/>
  <c r="AD177" i="7"/>
  <c r="AC177" i="7"/>
  <c r="AB177" i="7"/>
  <c r="AA177" i="7"/>
  <c r="AG176" i="7"/>
  <c r="AF176" i="7"/>
  <c r="AE176" i="7"/>
  <c r="AD176" i="7"/>
  <c r="AC176" i="7"/>
  <c r="AB176" i="7"/>
  <c r="AA176" i="7"/>
  <c r="AG175" i="7"/>
  <c r="AF175" i="7"/>
  <c r="AE175" i="7"/>
  <c r="AD175" i="7"/>
  <c r="AC175" i="7"/>
  <c r="AB175" i="7"/>
  <c r="AA175" i="7"/>
  <c r="AG174" i="7"/>
  <c r="AF174" i="7"/>
  <c r="AE174" i="7"/>
  <c r="AD174" i="7"/>
  <c r="AC174" i="7"/>
  <c r="AB174" i="7"/>
  <c r="AA174" i="7"/>
  <c r="AG173" i="7"/>
  <c r="AF173" i="7"/>
  <c r="AE173" i="7"/>
  <c r="AD173" i="7"/>
  <c r="AC173" i="7"/>
  <c r="AB173" i="7"/>
  <c r="AA173" i="7"/>
  <c r="AG172" i="7"/>
  <c r="AF172" i="7"/>
  <c r="AE172" i="7"/>
  <c r="AD172" i="7"/>
  <c r="AC172" i="7"/>
  <c r="AB172" i="7"/>
  <c r="AA172" i="7"/>
  <c r="AG171" i="7"/>
  <c r="AF171" i="7"/>
  <c r="AE171" i="7"/>
  <c r="AD171" i="7"/>
  <c r="AC171" i="7"/>
  <c r="AB171" i="7"/>
  <c r="AA171" i="7"/>
  <c r="AG170" i="7"/>
  <c r="AF170" i="7"/>
  <c r="AE170" i="7"/>
  <c r="AD170" i="7"/>
  <c r="AC170" i="7"/>
  <c r="AB170" i="7"/>
  <c r="AA170" i="7"/>
  <c r="AG169" i="7"/>
  <c r="AF169" i="7"/>
  <c r="AE169" i="7"/>
  <c r="AD169" i="7"/>
  <c r="AC169" i="7"/>
  <c r="AB169" i="7"/>
  <c r="AA169" i="7"/>
  <c r="AG168" i="7"/>
  <c r="AF168" i="7"/>
  <c r="AE168" i="7"/>
  <c r="AD168" i="7"/>
  <c r="AC168" i="7"/>
  <c r="AB168" i="7"/>
  <c r="AA168" i="7"/>
  <c r="AG167" i="7"/>
  <c r="AF167" i="7"/>
  <c r="AE167" i="7"/>
  <c r="AD167" i="7"/>
  <c r="AC167" i="7"/>
  <c r="AB167" i="7"/>
  <c r="AA167" i="7"/>
  <c r="AG166" i="7"/>
  <c r="AF166" i="7"/>
  <c r="AE166" i="7"/>
  <c r="AD166" i="7"/>
  <c r="AC166" i="7"/>
  <c r="AB166" i="7"/>
  <c r="AA166" i="7"/>
  <c r="AG165" i="7"/>
  <c r="AF165" i="7"/>
  <c r="AE165" i="7"/>
  <c r="AD165" i="7"/>
  <c r="AC165" i="7"/>
  <c r="AB165" i="7"/>
  <c r="AA165" i="7"/>
  <c r="AG164" i="7"/>
  <c r="AF164" i="7"/>
  <c r="AE164" i="7"/>
  <c r="AD164" i="7"/>
  <c r="AC164" i="7"/>
  <c r="AB164" i="7"/>
  <c r="AA164" i="7"/>
  <c r="AG163" i="7"/>
  <c r="AF163" i="7"/>
  <c r="AE163" i="7"/>
  <c r="AD163" i="7"/>
  <c r="AC163" i="7"/>
  <c r="AB163" i="7"/>
  <c r="AA163" i="7"/>
  <c r="AG162" i="7"/>
  <c r="AF162" i="7"/>
  <c r="AE162" i="7"/>
  <c r="AD162" i="7"/>
  <c r="AC162" i="7"/>
  <c r="AB162" i="7"/>
  <c r="AA162" i="7"/>
  <c r="AG161" i="7"/>
  <c r="AF161" i="7"/>
  <c r="AE161" i="7"/>
  <c r="AD161" i="7"/>
  <c r="AC161" i="7"/>
  <c r="AB161" i="7"/>
  <c r="AA161" i="7"/>
  <c r="AG160" i="7"/>
  <c r="AF160" i="7"/>
  <c r="AE160" i="7"/>
  <c r="AD160" i="7"/>
  <c r="AC160" i="7"/>
  <c r="AB160" i="7"/>
  <c r="AA160" i="7"/>
  <c r="AG159" i="7"/>
  <c r="AF159" i="7"/>
  <c r="AE159" i="7"/>
  <c r="AD159" i="7"/>
  <c r="AC159" i="7"/>
  <c r="AB159" i="7"/>
  <c r="AA159" i="7"/>
  <c r="AG158" i="7"/>
  <c r="AF158" i="7"/>
  <c r="AE158" i="7"/>
  <c r="AD158" i="7"/>
  <c r="AC158" i="7"/>
  <c r="AB158" i="7"/>
  <c r="AA158" i="7"/>
  <c r="AG157" i="7"/>
  <c r="AF157" i="7"/>
  <c r="AE157" i="7"/>
  <c r="AD157" i="7"/>
  <c r="AC157" i="7"/>
  <c r="AB157" i="7"/>
  <c r="AA157" i="7"/>
  <c r="AG156" i="7"/>
  <c r="AF156" i="7"/>
  <c r="AE156" i="7"/>
  <c r="AD156" i="7"/>
  <c r="AC156" i="7"/>
  <c r="AB156" i="7"/>
  <c r="AA156" i="7"/>
  <c r="AG155" i="7"/>
  <c r="AF155" i="7"/>
  <c r="AE155" i="7"/>
  <c r="AD155" i="7"/>
  <c r="AC155" i="7"/>
  <c r="AB155" i="7"/>
  <c r="AA155" i="7"/>
  <c r="AG154" i="7"/>
  <c r="AF154" i="7"/>
  <c r="AE154" i="7"/>
  <c r="AD154" i="7"/>
  <c r="AC154" i="7"/>
  <c r="AB154" i="7"/>
  <c r="AA154" i="7"/>
  <c r="AG153" i="7"/>
  <c r="AF153" i="7"/>
  <c r="AE153" i="7"/>
  <c r="AD153" i="7"/>
  <c r="AC153" i="7"/>
  <c r="AB153" i="7"/>
  <c r="AA153" i="7"/>
  <c r="AG152" i="7"/>
  <c r="AF152" i="7"/>
  <c r="AE152" i="7"/>
  <c r="AD152" i="7"/>
  <c r="AC152" i="7"/>
  <c r="AB152" i="7"/>
  <c r="AA152" i="7"/>
  <c r="AG151" i="7"/>
  <c r="AF151" i="7"/>
  <c r="AE151" i="7"/>
  <c r="AD151" i="7"/>
  <c r="AC151" i="7"/>
  <c r="AB151" i="7"/>
  <c r="AA151" i="7"/>
  <c r="AG150" i="7"/>
  <c r="AF150" i="7"/>
  <c r="AE150" i="7"/>
  <c r="AD150" i="7"/>
  <c r="AC150" i="7"/>
  <c r="AB150" i="7"/>
  <c r="AA150" i="7"/>
  <c r="AG149" i="7"/>
  <c r="AF149" i="7"/>
  <c r="AE149" i="7"/>
  <c r="AD149" i="7"/>
  <c r="AC149" i="7"/>
  <c r="AB149" i="7"/>
  <c r="AA149" i="7"/>
  <c r="AG148" i="7"/>
  <c r="AF148" i="7"/>
  <c r="AE148" i="7"/>
  <c r="AD148" i="7"/>
  <c r="AC148" i="7"/>
  <c r="AB148" i="7"/>
  <c r="AA148" i="7"/>
  <c r="AG147" i="7"/>
  <c r="AF147" i="7"/>
  <c r="AE147" i="7"/>
  <c r="AD147" i="7"/>
  <c r="AC147" i="7"/>
  <c r="AB147" i="7"/>
  <c r="AA147" i="7"/>
  <c r="AG146" i="7"/>
  <c r="AF146" i="7"/>
  <c r="AE146" i="7"/>
  <c r="AD146" i="7"/>
  <c r="AC146" i="7"/>
  <c r="AB146" i="7"/>
  <c r="AA146" i="7"/>
  <c r="AG145" i="7"/>
  <c r="AF145" i="7"/>
  <c r="AE145" i="7"/>
  <c r="AD145" i="7"/>
  <c r="AC145" i="7"/>
  <c r="AB145" i="7"/>
  <c r="AA145" i="7"/>
  <c r="AG144" i="7"/>
  <c r="AF144" i="7"/>
  <c r="AE144" i="7"/>
  <c r="AD144" i="7"/>
  <c r="AC144" i="7"/>
  <c r="AB144" i="7"/>
  <c r="AA144" i="7"/>
  <c r="AG143" i="7"/>
  <c r="AF143" i="7"/>
  <c r="AE143" i="7"/>
  <c r="AD143" i="7"/>
  <c r="AC143" i="7"/>
  <c r="AB143" i="7"/>
  <c r="AA143" i="7"/>
  <c r="AG142" i="7"/>
  <c r="AF142" i="7"/>
  <c r="AE142" i="7"/>
  <c r="AD142" i="7"/>
  <c r="AC142" i="7"/>
  <c r="AB142" i="7"/>
  <c r="AA142" i="7"/>
  <c r="AG141" i="7"/>
  <c r="AF141" i="7"/>
  <c r="AE141" i="7"/>
  <c r="AD141" i="7"/>
  <c r="AC141" i="7"/>
  <c r="AB141" i="7"/>
  <c r="AA141" i="7"/>
  <c r="AG140" i="7"/>
  <c r="AF140" i="7"/>
  <c r="AE140" i="7"/>
  <c r="AD140" i="7"/>
  <c r="AC140" i="7"/>
  <c r="AB140" i="7"/>
  <c r="AA140" i="7"/>
  <c r="AG139" i="7"/>
  <c r="AF139" i="7"/>
  <c r="AE139" i="7"/>
  <c r="AD139" i="7"/>
  <c r="AC139" i="7"/>
  <c r="AB139" i="7"/>
  <c r="AA139" i="7"/>
  <c r="AG138" i="7"/>
  <c r="AF138" i="7"/>
  <c r="AE138" i="7"/>
  <c r="AD138" i="7"/>
  <c r="AC138" i="7"/>
  <c r="AB138" i="7"/>
  <c r="AA138" i="7"/>
  <c r="AG137" i="7"/>
  <c r="AF137" i="7"/>
  <c r="AE137" i="7"/>
  <c r="AD137" i="7"/>
  <c r="AC137" i="7"/>
  <c r="AB137" i="7"/>
  <c r="AA137" i="7"/>
  <c r="AG136" i="7"/>
  <c r="AF136" i="7"/>
  <c r="AE136" i="7"/>
  <c r="AD136" i="7"/>
  <c r="AC136" i="7"/>
  <c r="AB136" i="7"/>
  <c r="AA136" i="7"/>
  <c r="AG135" i="7"/>
  <c r="AF135" i="7"/>
  <c r="AE135" i="7"/>
  <c r="AD135" i="7"/>
  <c r="AC135" i="7"/>
  <c r="AB135" i="7"/>
  <c r="AA135" i="7"/>
  <c r="AG134" i="7"/>
  <c r="AF134" i="7"/>
  <c r="AE134" i="7"/>
  <c r="AD134" i="7"/>
  <c r="AC134" i="7"/>
  <c r="AB134" i="7"/>
  <c r="AA134" i="7"/>
  <c r="AG133" i="7"/>
  <c r="AF133" i="7"/>
  <c r="AE133" i="7"/>
  <c r="AD133" i="7"/>
  <c r="AC133" i="7"/>
  <c r="AB133" i="7"/>
  <c r="AA133" i="7"/>
  <c r="AG132" i="7"/>
  <c r="AF132" i="7"/>
  <c r="AE132" i="7"/>
  <c r="AD132" i="7"/>
  <c r="AC132" i="7"/>
  <c r="AB132" i="7"/>
  <c r="AA132" i="7"/>
  <c r="AG131" i="7"/>
  <c r="AF131" i="7"/>
  <c r="AE131" i="7"/>
  <c r="AD131" i="7"/>
  <c r="AC131" i="7"/>
  <c r="AB131" i="7"/>
  <c r="AA131" i="7"/>
  <c r="AG130" i="7"/>
  <c r="AF130" i="7"/>
  <c r="AE130" i="7"/>
  <c r="AD130" i="7"/>
  <c r="AC130" i="7"/>
  <c r="AB130" i="7"/>
  <c r="AA130" i="7"/>
  <c r="AG129" i="7"/>
  <c r="AF129" i="7"/>
  <c r="AE129" i="7"/>
  <c r="AD129" i="7"/>
  <c r="AC129" i="7"/>
  <c r="AB129" i="7"/>
  <c r="AA129" i="7"/>
  <c r="AG128" i="7"/>
  <c r="AF128" i="7"/>
  <c r="AE128" i="7"/>
  <c r="AD128" i="7"/>
  <c r="AC128" i="7"/>
  <c r="AB128" i="7"/>
  <c r="AA128" i="7"/>
  <c r="AG127" i="7"/>
  <c r="AF127" i="7"/>
  <c r="AE127" i="7"/>
  <c r="AD127" i="7"/>
  <c r="AC127" i="7"/>
  <c r="AB127" i="7"/>
  <c r="AA127" i="7"/>
  <c r="AG126" i="7"/>
  <c r="AF126" i="7"/>
  <c r="AE126" i="7"/>
  <c r="AD126" i="7"/>
  <c r="AC126" i="7"/>
  <c r="AB126" i="7"/>
  <c r="AA126" i="7"/>
  <c r="AG125" i="7"/>
  <c r="AF125" i="7"/>
  <c r="AE125" i="7"/>
  <c r="AD125" i="7"/>
  <c r="AC125" i="7"/>
  <c r="AB125" i="7"/>
  <c r="AA125" i="7"/>
  <c r="AG124" i="7"/>
  <c r="AF124" i="7"/>
  <c r="AE124" i="7"/>
  <c r="AD124" i="7"/>
  <c r="AC124" i="7"/>
  <c r="AB124" i="7"/>
  <c r="AA124" i="7"/>
  <c r="AG123" i="7"/>
  <c r="AF123" i="7"/>
  <c r="AE123" i="7"/>
  <c r="AD123" i="7"/>
  <c r="AC123" i="7"/>
  <c r="AB123" i="7"/>
  <c r="AA123" i="7"/>
  <c r="AG122" i="7"/>
  <c r="AF122" i="7"/>
  <c r="AE122" i="7"/>
  <c r="AD122" i="7"/>
  <c r="AC122" i="7"/>
  <c r="AB122" i="7"/>
  <c r="AA122" i="7"/>
  <c r="AG121" i="7"/>
  <c r="AF121" i="7"/>
  <c r="AE121" i="7"/>
  <c r="AD121" i="7"/>
  <c r="AC121" i="7"/>
  <c r="AB121" i="7"/>
  <c r="AA121" i="7"/>
  <c r="AG120" i="7"/>
  <c r="AF120" i="7"/>
  <c r="AE120" i="7"/>
  <c r="AD120" i="7"/>
  <c r="AC120" i="7"/>
  <c r="AB120" i="7"/>
  <c r="AA120" i="7"/>
  <c r="AG119" i="7"/>
  <c r="AF119" i="7"/>
  <c r="AE119" i="7"/>
  <c r="AD119" i="7"/>
  <c r="AC119" i="7"/>
  <c r="AB119" i="7"/>
  <c r="AA119" i="7"/>
  <c r="AG118" i="7"/>
  <c r="AF118" i="7"/>
  <c r="AE118" i="7"/>
  <c r="AD118" i="7"/>
  <c r="AC118" i="7"/>
  <c r="AB118" i="7"/>
  <c r="AA118" i="7"/>
  <c r="AG117" i="7"/>
  <c r="AF117" i="7"/>
  <c r="AE117" i="7"/>
  <c r="AD117" i="7"/>
  <c r="AC117" i="7"/>
  <c r="AB117" i="7"/>
  <c r="AA117" i="7"/>
  <c r="AG116" i="7"/>
  <c r="AF116" i="7"/>
  <c r="AE116" i="7"/>
  <c r="AD116" i="7"/>
  <c r="AC116" i="7"/>
  <c r="AB116" i="7"/>
  <c r="AA116" i="7"/>
  <c r="AG115" i="7"/>
  <c r="AF115" i="7"/>
  <c r="AE115" i="7"/>
  <c r="AD115" i="7"/>
  <c r="AC115" i="7"/>
  <c r="AB115" i="7"/>
  <c r="AA115" i="7"/>
  <c r="AG114" i="7"/>
  <c r="AF114" i="7"/>
  <c r="AE114" i="7"/>
  <c r="AD114" i="7"/>
  <c r="AC114" i="7"/>
  <c r="AB114" i="7"/>
  <c r="AA114" i="7"/>
  <c r="AG113" i="7"/>
  <c r="AF113" i="7"/>
  <c r="AE113" i="7"/>
  <c r="AD113" i="7"/>
  <c r="AC113" i="7"/>
  <c r="AB113" i="7"/>
  <c r="AA113" i="7"/>
  <c r="AG112" i="7"/>
  <c r="AF112" i="7"/>
  <c r="AE112" i="7"/>
  <c r="AD112" i="7"/>
  <c r="AC112" i="7"/>
  <c r="AB112" i="7"/>
  <c r="AA112" i="7"/>
  <c r="AG111" i="7"/>
  <c r="AF111" i="7"/>
  <c r="AE111" i="7"/>
  <c r="AD111" i="7"/>
  <c r="AC111" i="7"/>
  <c r="AB111" i="7"/>
  <c r="AA111" i="7"/>
  <c r="AG110" i="7"/>
  <c r="AF110" i="7"/>
  <c r="AE110" i="7"/>
  <c r="AD110" i="7"/>
  <c r="AC110" i="7"/>
  <c r="AB110" i="7"/>
  <c r="AA110" i="7"/>
  <c r="AG109" i="7"/>
  <c r="AF109" i="7"/>
  <c r="AE109" i="7"/>
  <c r="AD109" i="7"/>
  <c r="AC109" i="7"/>
  <c r="AB109" i="7"/>
  <c r="AA109" i="7"/>
  <c r="AG108" i="7"/>
  <c r="AF108" i="7"/>
  <c r="AE108" i="7"/>
  <c r="AD108" i="7"/>
  <c r="AC108" i="7"/>
  <c r="AB108" i="7"/>
  <c r="AA108" i="7"/>
  <c r="AG107" i="7"/>
  <c r="AF107" i="7"/>
  <c r="AE107" i="7"/>
  <c r="AD107" i="7"/>
  <c r="AC107" i="7"/>
  <c r="AB107" i="7"/>
  <c r="AA107" i="7"/>
  <c r="AG106" i="7"/>
  <c r="AF106" i="7"/>
  <c r="AE106" i="7"/>
  <c r="AD106" i="7"/>
  <c r="AC106" i="7"/>
  <c r="AB106" i="7"/>
  <c r="AA106" i="7"/>
  <c r="AG105" i="7"/>
  <c r="AF105" i="7"/>
  <c r="AE105" i="7"/>
  <c r="AD105" i="7"/>
  <c r="AC105" i="7"/>
  <c r="AB105" i="7"/>
  <c r="AA105" i="7"/>
  <c r="AG104" i="7"/>
  <c r="AF104" i="7"/>
  <c r="AE104" i="7"/>
  <c r="AD104" i="7"/>
  <c r="AC104" i="7"/>
  <c r="AB104" i="7"/>
  <c r="AA104" i="7"/>
  <c r="AG103" i="7"/>
  <c r="AF103" i="7"/>
  <c r="AE103" i="7"/>
  <c r="AD103" i="7"/>
  <c r="AC103" i="7"/>
  <c r="AB103" i="7"/>
  <c r="AA103" i="7"/>
  <c r="AG102" i="7"/>
  <c r="AF102" i="7"/>
  <c r="AE102" i="7"/>
  <c r="AD102" i="7"/>
  <c r="AC102" i="7"/>
  <c r="AB102" i="7"/>
  <c r="AA102" i="7"/>
  <c r="AG101" i="7"/>
  <c r="AF101" i="7"/>
  <c r="AE101" i="7"/>
  <c r="AD101" i="7"/>
  <c r="AC101" i="7"/>
  <c r="AB101" i="7"/>
  <c r="AA101" i="7"/>
  <c r="AG100" i="7"/>
  <c r="AF100" i="7"/>
  <c r="AE100" i="7"/>
  <c r="AD100" i="7"/>
  <c r="AC100" i="7"/>
  <c r="AB100" i="7"/>
  <c r="AA100" i="7"/>
  <c r="AG99" i="7"/>
  <c r="AF99" i="7"/>
  <c r="AE99" i="7"/>
  <c r="AD99" i="7"/>
  <c r="AC99" i="7"/>
  <c r="AB99" i="7"/>
  <c r="AA99" i="7"/>
  <c r="AG98" i="7"/>
  <c r="AF98" i="7"/>
  <c r="AE98" i="7"/>
  <c r="AD98" i="7"/>
  <c r="AC98" i="7"/>
  <c r="AB98" i="7"/>
  <c r="AA98" i="7"/>
  <c r="AG97" i="7"/>
  <c r="AF97" i="7"/>
  <c r="AE97" i="7"/>
  <c r="AD97" i="7"/>
  <c r="AC97" i="7"/>
  <c r="AB97" i="7"/>
  <c r="AA97" i="7"/>
  <c r="AG96" i="7"/>
  <c r="AF96" i="7"/>
  <c r="AE96" i="7"/>
  <c r="AD96" i="7"/>
  <c r="AC96" i="7"/>
  <c r="AB96" i="7"/>
  <c r="AA96" i="7"/>
  <c r="AG95" i="7"/>
  <c r="AF95" i="7"/>
  <c r="AE95" i="7"/>
  <c r="AD95" i="7"/>
  <c r="AC95" i="7"/>
  <c r="AB95" i="7"/>
  <c r="AA95" i="7"/>
  <c r="AG94" i="7"/>
  <c r="AF94" i="7"/>
  <c r="AE94" i="7"/>
  <c r="AD94" i="7"/>
  <c r="AC94" i="7"/>
  <c r="AB94" i="7"/>
  <c r="AA94" i="7"/>
  <c r="AG93" i="7"/>
  <c r="AF93" i="7"/>
  <c r="AE93" i="7"/>
  <c r="AD93" i="7"/>
  <c r="AC93" i="7"/>
  <c r="AB93" i="7"/>
  <c r="AA93" i="7"/>
  <c r="AG92" i="7"/>
  <c r="AF92" i="7"/>
  <c r="AE92" i="7"/>
  <c r="AD92" i="7"/>
  <c r="AC92" i="7"/>
  <c r="AB92" i="7"/>
  <c r="AA92" i="7"/>
  <c r="AG91" i="7"/>
  <c r="AF91" i="7"/>
  <c r="AE91" i="7"/>
  <c r="AD91" i="7"/>
  <c r="AC91" i="7"/>
  <c r="AB91" i="7"/>
  <c r="AA91" i="7"/>
  <c r="AG90" i="7"/>
  <c r="AF90" i="7"/>
  <c r="AE90" i="7"/>
  <c r="AD90" i="7"/>
  <c r="AC90" i="7"/>
  <c r="AB90" i="7"/>
  <c r="AA90" i="7"/>
  <c r="AG89" i="7"/>
  <c r="AF89" i="7"/>
  <c r="AE89" i="7"/>
  <c r="AD89" i="7"/>
  <c r="AC89" i="7"/>
  <c r="AB89" i="7"/>
  <c r="AA89" i="7"/>
  <c r="AG88" i="7"/>
  <c r="AF88" i="7"/>
  <c r="AE88" i="7"/>
  <c r="AD88" i="7"/>
  <c r="AC88" i="7"/>
  <c r="AB88" i="7"/>
  <c r="AA88" i="7"/>
  <c r="AG87" i="7"/>
  <c r="AF87" i="7"/>
  <c r="AE87" i="7"/>
  <c r="AD87" i="7"/>
  <c r="AC87" i="7"/>
  <c r="AB87" i="7"/>
  <c r="AA87" i="7"/>
  <c r="AG86" i="7"/>
  <c r="AF86" i="7"/>
  <c r="AE86" i="7"/>
  <c r="AD86" i="7"/>
  <c r="AC86" i="7"/>
  <c r="AB86" i="7"/>
  <c r="AA86" i="7"/>
  <c r="AG85" i="7"/>
  <c r="AF85" i="7"/>
  <c r="AE85" i="7"/>
  <c r="AD85" i="7"/>
  <c r="AC85" i="7"/>
  <c r="AB85" i="7"/>
  <c r="AA85" i="7"/>
  <c r="AG84" i="7"/>
  <c r="AF84" i="7"/>
  <c r="AE84" i="7"/>
  <c r="AD84" i="7"/>
  <c r="AC84" i="7"/>
  <c r="AB84" i="7"/>
  <c r="AA84" i="7"/>
  <c r="AG83" i="7"/>
  <c r="AF83" i="7"/>
  <c r="AE83" i="7"/>
  <c r="AD83" i="7"/>
  <c r="AC83" i="7"/>
  <c r="AB83" i="7"/>
  <c r="AA83" i="7"/>
  <c r="AG82" i="7"/>
  <c r="AF82" i="7"/>
  <c r="AE82" i="7"/>
  <c r="AD82" i="7"/>
  <c r="AC82" i="7"/>
  <c r="AB82" i="7"/>
  <c r="AA82" i="7"/>
  <c r="AG81" i="7"/>
  <c r="AF81" i="7"/>
  <c r="AE81" i="7"/>
  <c r="AD81" i="7"/>
  <c r="AC81" i="7"/>
  <c r="AB81" i="7"/>
  <c r="AA81" i="7"/>
  <c r="AG80" i="7"/>
  <c r="AF80" i="7"/>
  <c r="AE80" i="7"/>
  <c r="AD80" i="7"/>
  <c r="AC80" i="7"/>
  <c r="AB80" i="7"/>
  <c r="AA80" i="7"/>
  <c r="AG79" i="7"/>
  <c r="AF79" i="7"/>
  <c r="AE79" i="7"/>
  <c r="AD79" i="7"/>
  <c r="AC79" i="7"/>
  <c r="AB79" i="7"/>
  <c r="AA79" i="7"/>
  <c r="AG78" i="7"/>
  <c r="AF78" i="7"/>
  <c r="AE78" i="7"/>
  <c r="AD78" i="7"/>
  <c r="AC78" i="7"/>
  <c r="AB78" i="7"/>
  <c r="AA78" i="7"/>
  <c r="AG77" i="7"/>
  <c r="AF77" i="7"/>
  <c r="AE77" i="7"/>
  <c r="AD77" i="7"/>
  <c r="AC77" i="7"/>
  <c r="AB77" i="7"/>
  <c r="AA77" i="7"/>
  <c r="AG76" i="7"/>
  <c r="AF76" i="7"/>
  <c r="AE76" i="7"/>
  <c r="AD76" i="7"/>
  <c r="AC76" i="7"/>
  <c r="AB76" i="7"/>
  <c r="AA76" i="7"/>
  <c r="AG75" i="7"/>
  <c r="AF75" i="7"/>
  <c r="AE75" i="7"/>
  <c r="AD75" i="7"/>
  <c r="AC75" i="7"/>
  <c r="AB75" i="7"/>
  <c r="AA75" i="7"/>
  <c r="AG74" i="7"/>
  <c r="AF74" i="7"/>
  <c r="AE74" i="7"/>
  <c r="AD74" i="7"/>
  <c r="AC74" i="7"/>
  <c r="AB74" i="7"/>
  <c r="AA74" i="7"/>
  <c r="AG73" i="7"/>
  <c r="AF73" i="7"/>
  <c r="AE73" i="7"/>
  <c r="AD73" i="7"/>
  <c r="AC73" i="7"/>
  <c r="AB73" i="7"/>
  <c r="AA73" i="7"/>
  <c r="AG72" i="7"/>
  <c r="AF72" i="7"/>
  <c r="AE72" i="7"/>
  <c r="AD72" i="7"/>
  <c r="AC72" i="7"/>
  <c r="AB72" i="7"/>
  <c r="AA72" i="7"/>
  <c r="AG71" i="7"/>
  <c r="AF71" i="7"/>
  <c r="AE71" i="7"/>
  <c r="AD71" i="7"/>
  <c r="AC71" i="7"/>
  <c r="AB71" i="7"/>
  <c r="AA71" i="7"/>
  <c r="AG70" i="7"/>
  <c r="AF70" i="7"/>
  <c r="AE70" i="7"/>
  <c r="AD70" i="7"/>
  <c r="AC70" i="7"/>
  <c r="AB70" i="7"/>
  <c r="AA70" i="7"/>
  <c r="AG69" i="7"/>
  <c r="AF69" i="7"/>
  <c r="AE69" i="7"/>
  <c r="AD69" i="7"/>
  <c r="AC69" i="7"/>
  <c r="AB69" i="7"/>
  <c r="AA69" i="7"/>
  <c r="AG68" i="7"/>
  <c r="AF68" i="7"/>
  <c r="AE68" i="7"/>
  <c r="AD68" i="7"/>
  <c r="AC68" i="7"/>
  <c r="AB68" i="7"/>
  <c r="AA68" i="7"/>
  <c r="AG67" i="7"/>
  <c r="AF67" i="7"/>
  <c r="AE67" i="7"/>
  <c r="AD67" i="7"/>
  <c r="AC67" i="7"/>
  <c r="AB67" i="7"/>
  <c r="AA67" i="7"/>
  <c r="AG66" i="7"/>
  <c r="AF66" i="7"/>
  <c r="AE66" i="7"/>
  <c r="AD66" i="7"/>
  <c r="AC66" i="7"/>
  <c r="AB66" i="7"/>
  <c r="AA66" i="7"/>
  <c r="AG65" i="7"/>
  <c r="AF65" i="7"/>
  <c r="AE65" i="7"/>
  <c r="AD65" i="7"/>
  <c r="AC65" i="7"/>
  <c r="AB65" i="7"/>
  <c r="AA65" i="7"/>
  <c r="AG64" i="7"/>
  <c r="AF64" i="7"/>
  <c r="AE64" i="7"/>
  <c r="AD64" i="7"/>
  <c r="AC64" i="7"/>
  <c r="AB64" i="7"/>
  <c r="AA64" i="7"/>
  <c r="AG63" i="7"/>
  <c r="AF63" i="7"/>
  <c r="AE63" i="7"/>
  <c r="AD63" i="7"/>
  <c r="AC63" i="7"/>
  <c r="AB63" i="7"/>
  <c r="AA63" i="7"/>
  <c r="AG62" i="7"/>
  <c r="AF62" i="7"/>
  <c r="AE62" i="7"/>
  <c r="AD62" i="7"/>
  <c r="AC62" i="7"/>
  <c r="AB62" i="7"/>
  <c r="AA62" i="7"/>
  <c r="AG61" i="7"/>
  <c r="AF61" i="7"/>
  <c r="AE61" i="7"/>
  <c r="AD61" i="7"/>
  <c r="AC61" i="7"/>
  <c r="AB61" i="7"/>
  <c r="AA61" i="7"/>
  <c r="AG60" i="7"/>
  <c r="AF60" i="7"/>
  <c r="AE60" i="7"/>
  <c r="AD60" i="7"/>
  <c r="AC60" i="7"/>
  <c r="AB60" i="7"/>
  <c r="AA60" i="7"/>
  <c r="AG59" i="7"/>
  <c r="AF59" i="7"/>
  <c r="AE59" i="7"/>
  <c r="AD59" i="7"/>
  <c r="AC59" i="7"/>
  <c r="AB59" i="7"/>
  <c r="AA59" i="7"/>
  <c r="AG58" i="7"/>
  <c r="AF58" i="7"/>
  <c r="AE58" i="7"/>
  <c r="AD58" i="7"/>
  <c r="AC58" i="7"/>
  <c r="AB58" i="7"/>
  <c r="AA58" i="7"/>
  <c r="AG57" i="7"/>
  <c r="AF57" i="7"/>
  <c r="AE57" i="7"/>
  <c r="AD57" i="7"/>
  <c r="AC57" i="7"/>
  <c r="AB57" i="7"/>
  <c r="AA57" i="7"/>
  <c r="AG56" i="7"/>
  <c r="AF56" i="7"/>
  <c r="AE56" i="7"/>
  <c r="AD56" i="7"/>
  <c r="AC56" i="7"/>
  <c r="AB56" i="7"/>
  <c r="AA56" i="7"/>
  <c r="AG55" i="7"/>
  <c r="AF55" i="7"/>
  <c r="AE55" i="7"/>
  <c r="AD55" i="7"/>
  <c r="AC55" i="7"/>
  <c r="AB55" i="7"/>
  <c r="AA55" i="7"/>
  <c r="AG54" i="7"/>
  <c r="AF54" i="7"/>
  <c r="AE54" i="7"/>
  <c r="AD54" i="7"/>
  <c r="AC54" i="7"/>
  <c r="AB54" i="7"/>
  <c r="AA54" i="7"/>
  <c r="AG53" i="7"/>
  <c r="AF53" i="7"/>
  <c r="AE53" i="7"/>
  <c r="AD53" i="7"/>
  <c r="AC53" i="7"/>
  <c r="AB53" i="7"/>
  <c r="AA53" i="7"/>
  <c r="AG52" i="7"/>
  <c r="AF52" i="7"/>
  <c r="AE52" i="7"/>
  <c r="AD52" i="7"/>
  <c r="AC52" i="7"/>
  <c r="AB52" i="7"/>
  <c r="AA52" i="7"/>
  <c r="AG51" i="7"/>
  <c r="AF51" i="7"/>
  <c r="AE51" i="7"/>
  <c r="AD51" i="7"/>
  <c r="AC51" i="7"/>
  <c r="AB51" i="7"/>
  <c r="AA51" i="7"/>
  <c r="AG50" i="7"/>
  <c r="AF50" i="7"/>
  <c r="AE50" i="7"/>
  <c r="AD50" i="7"/>
  <c r="AC50" i="7"/>
  <c r="AB50" i="7"/>
  <c r="AA50" i="7"/>
  <c r="AG49" i="7"/>
  <c r="AF49" i="7"/>
  <c r="AE49" i="7"/>
  <c r="AD49" i="7"/>
  <c r="AC49" i="7"/>
  <c r="AB49" i="7"/>
  <c r="AA49" i="7"/>
  <c r="AG48" i="7"/>
  <c r="AF48" i="7"/>
  <c r="AE48" i="7"/>
  <c r="AD48" i="7"/>
  <c r="AC48" i="7"/>
  <c r="AB48" i="7"/>
  <c r="AA48" i="7"/>
  <c r="AG47" i="7"/>
  <c r="AF47" i="7"/>
  <c r="AE47" i="7"/>
  <c r="AD47" i="7"/>
  <c r="AC47" i="7"/>
  <c r="AB47" i="7"/>
  <c r="AA47" i="7"/>
  <c r="AG46" i="7"/>
  <c r="AF46" i="7"/>
  <c r="AE46" i="7"/>
  <c r="AD46" i="7"/>
  <c r="AC46" i="7"/>
  <c r="AB46" i="7"/>
  <c r="AA46" i="7"/>
  <c r="AG45" i="7"/>
  <c r="AF45" i="7"/>
  <c r="AE45" i="7"/>
  <c r="AD45" i="7"/>
  <c r="AC45" i="7"/>
  <c r="AB45" i="7"/>
  <c r="AA45" i="7"/>
  <c r="AG44" i="7"/>
  <c r="AF44" i="7"/>
  <c r="AE44" i="7"/>
  <c r="AD44" i="7"/>
  <c r="AC44" i="7"/>
  <c r="AB44" i="7"/>
  <c r="AA44" i="7"/>
  <c r="AG43" i="7"/>
  <c r="AF43" i="7"/>
  <c r="AE43" i="7"/>
  <c r="AD43" i="7"/>
  <c r="AC43" i="7"/>
  <c r="AB43" i="7"/>
  <c r="AA43" i="7"/>
  <c r="AG42" i="7"/>
  <c r="AF42" i="7"/>
  <c r="AE42" i="7"/>
  <c r="AD42" i="7"/>
  <c r="AC42" i="7"/>
  <c r="AB42" i="7"/>
  <c r="AA42" i="7"/>
  <c r="AG41" i="7"/>
  <c r="AF41" i="7"/>
  <c r="AE41" i="7"/>
  <c r="AD41" i="7"/>
  <c r="AC41" i="7"/>
  <c r="AB41" i="7"/>
  <c r="AA41" i="7"/>
  <c r="AG40" i="7"/>
  <c r="AF40" i="7"/>
  <c r="AE40" i="7"/>
  <c r="AD40" i="7"/>
  <c r="AC40" i="7"/>
  <c r="AB40" i="7"/>
  <c r="AA40" i="7"/>
  <c r="AG39" i="7"/>
  <c r="AF39" i="7"/>
  <c r="AE39" i="7"/>
  <c r="AD39" i="7"/>
  <c r="AC39" i="7"/>
  <c r="AB39" i="7"/>
  <c r="AA39" i="7"/>
  <c r="AG38" i="7"/>
  <c r="AF38" i="7"/>
  <c r="AE38" i="7"/>
  <c r="AD38" i="7"/>
  <c r="AC38" i="7"/>
  <c r="AB38" i="7"/>
  <c r="AA38" i="7"/>
  <c r="AG37" i="7"/>
  <c r="AF37" i="7"/>
  <c r="AE37" i="7"/>
  <c r="AD37" i="7"/>
  <c r="AC37" i="7"/>
  <c r="AB37" i="7"/>
  <c r="AA37" i="7"/>
  <c r="AG36" i="7"/>
  <c r="AF36" i="7"/>
  <c r="AE36" i="7"/>
  <c r="AD36" i="7"/>
  <c r="AC36" i="7"/>
  <c r="AB36" i="7"/>
  <c r="AA36" i="7"/>
  <c r="AG35" i="7"/>
  <c r="AF35" i="7"/>
  <c r="AE35" i="7"/>
  <c r="AD35" i="7"/>
  <c r="AC35" i="7"/>
  <c r="AB35" i="7"/>
  <c r="AA35" i="7"/>
  <c r="AG34" i="7"/>
  <c r="AF34" i="7"/>
  <c r="AE34" i="7"/>
  <c r="AD34" i="7"/>
  <c r="AC34" i="7"/>
  <c r="AB34" i="7"/>
  <c r="AA34" i="7"/>
  <c r="AG33" i="7"/>
  <c r="AF33" i="7"/>
  <c r="AE33" i="7"/>
  <c r="AD33" i="7"/>
  <c r="AC33" i="7"/>
  <c r="AB33" i="7"/>
  <c r="AA33" i="7"/>
  <c r="AG32" i="7"/>
  <c r="AF32" i="7"/>
  <c r="AE32" i="7"/>
  <c r="AD32" i="7"/>
  <c r="AC32" i="7"/>
  <c r="AB32" i="7"/>
  <c r="AA32" i="7"/>
  <c r="AG31" i="7"/>
  <c r="AF31" i="7"/>
  <c r="AE31" i="7"/>
  <c r="AD31" i="7"/>
  <c r="AC31" i="7"/>
  <c r="AB31" i="7"/>
  <c r="AA31" i="7"/>
  <c r="AG30" i="7"/>
  <c r="AF30" i="7"/>
  <c r="AE30" i="7"/>
  <c r="AD30" i="7"/>
  <c r="AC30" i="7"/>
  <c r="AB30" i="7"/>
  <c r="AA30" i="7"/>
  <c r="AG29" i="7"/>
  <c r="AF29" i="7"/>
  <c r="AE29" i="7"/>
  <c r="AD29" i="7"/>
  <c r="AC29" i="7"/>
  <c r="AB29" i="7"/>
  <c r="AA29" i="7"/>
  <c r="AG28" i="7"/>
  <c r="AF28" i="7"/>
  <c r="AE28" i="7"/>
  <c r="AD28" i="7"/>
  <c r="AC28" i="7"/>
  <c r="AB28" i="7"/>
  <c r="AA28" i="7"/>
  <c r="AG27" i="7"/>
  <c r="AF27" i="7"/>
  <c r="AE27" i="7"/>
  <c r="AD27" i="7"/>
  <c r="AC27" i="7"/>
  <c r="AB27" i="7"/>
  <c r="AA27" i="7"/>
  <c r="AG26" i="7"/>
  <c r="AF26" i="7"/>
  <c r="AE26" i="7"/>
  <c r="AD26" i="7"/>
  <c r="AC26" i="7"/>
  <c r="AB26" i="7"/>
  <c r="AA26" i="7"/>
  <c r="AG25" i="7"/>
  <c r="AF25" i="7"/>
  <c r="AE25" i="7"/>
  <c r="AD25" i="7"/>
  <c r="AC25" i="7"/>
  <c r="AB25" i="7"/>
  <c r="AA25" i="7"/>
  <c r="AG24" i="7"/>
  <c r="AF24" i="7"/>
  <c r="AE24" i="7"/>
  <c r="AD24" i="7"/>
  <c r="AC24" i="7"/>
  <c r="AB24" i="7"/>
  <c r="AA24" i="7"/>
  <c r="AG23" i="7"/>
  <c r="AF23" i="7"/>
  <c r="AE23" i="7"/>
  <c r="AD23" i="7"/>
  <c r="AC23" i="7"/>
  <c r="AB23" i="7"/>
  <c r="AA23" i="7"/>
  <c r="AG22" i="7"/>
  <c r="AF22" i="7"/>
  <c r="AE22" i="7"/>
  <c r="AD22" i="7"/>
  <c r="AC22" i="7"/>
  <c r="AB22" i="7"/>
  <c r="AA22" i="7"/>
  <c r="AG21" i="7"/>
  <c r="AF21" i="7"/>
  <c r="AE21" i="7"/>
  <c r="AD21" i="7"/>
  <c r="AC21" i="7"/>
  <c r="AB21" i="7"/>
  <c r="AA21" i="7"/>
  <c r="AG20" i="7"/>
  <c r="AF20" i="7"/>
  <c r="AE20" i="7"/>
  <c r="AD20" i="7"/>
  <c r="AC20" i="7"/>
  <c r="AB20" i="7"/>
  <c r="AA20" i="7"/>
  <c r="AG19" i="7"/>
  <c r="AF19" i="7"/>
  <c r="AE19" i="7"/>
  <c r="AD19" i="7"/>
  <c r="AC19" i="7"/>
  <c r="AB19" i="7"/>
  <c r="AA19" i="7"/>
  <c r="AG18" i="7"/>
  <c r="AF18" i="7"/>
  <c r="AE18" i="7"/>
  <c r="AD18" i="7"/>
  <c r="AC18" i="7"/>
  <c r="AB18" i="7"/>
  <c r="AA18" i="7"/>
  <c r="AG17" i="7"/>
  <c r="AF17" i="7"/>
  <c r="AE17" i="7"/>
  <c r="AD17" i="7"/>
  <c r="AC17" i="7"/>
  <c r="AB17" i="7"/>
  <c r="AA17" i="7"/>
  <c r="AG16" i="7"/>
  <c r="AF16" i="7"/>
  <c r="AE16" i="7"/>
  <c r="AD16" i="7"/>
  <c r="AC16" i="7"/>
  <c r="AB16" i="7"/>
  <c r="AA16" i="7"/>
  <c r="AG15" i="7"/>
  <c r="AF15" i="7"/>
  <c r="AE15" i="7"/>
  <c r="AD15" i="7"/>
  <c r="AC15" i="7"/>
  <c r="AB15" i="7"/>
  <c r="AA15" i="7"/>
  <c r="G414" i="12" l="1"/>
  <c r="G413" i="12"/>
  <c r="G412" i="12"/>
  <c r="G411" i="12"/>
  <c r="G410" i="12"/>
  <c r="G409" i="12"/>
  <c r="G408" i="12"/>
  <c r="G407" i="12"/>
  <c r="G406" i="12"/>
  <c r="G405" i="12"/>
  <c r="G404" i="12"/>
  <c r="G403" i="12"/>
  <c r="G402" i="12"/>
  <c r="G401" i="12"/>
  <c r="G400" i="12"/>
  <c r="G399" i="12"/>
  <c r="G398" i="12"/>
  <c r="G397" i="12"/>
  <c r="G396" i="12"/>
  <c r="G395" i="12"/>
  <c r="G394" i="12"/>
  <c r="G393" i="12"/>
  <c r="G392" i="12"/>
  <c r="G391" i="12"/>
  <c r="G390" i="12"/>
  <c r="G389" i="12"/>
  <c r="G388" i="12"/>
  <c r="G387" i="12"/>
  <c r="G386" i="12"/>
  <c r="G385" i="12"/>
  <c r="G384" i="12"/>
  <c r="G383" i="12"/>
  <c r="G382" i="12"/>
  <c r="G381" i="12"/>
  <c r="G380" i="12"/>
  <c r="G379" i="12"/>
  <c r="G378" i="12"/>
  <c r="G377" i="12"/>
  <c r="G376" i="12"/>
  <c r="G375" i="12"/>
  <c r="G374" i="12"/>
  <c r="G373" i="12"/>
  <c r="G372" i="12"/>
  <c r="G371" i="12"/>
  <c r="G370" i="12"/>
  <c r="G369" i="12"/>
  <c r="G368" i="12"/>
  <c r="G367" i="12"/>
  <c r="G366" i="12"/>
  <c r="G365" i="12"/>
  <c r="G364" i="12"/>
  <c r="G363" i="12"/>
  <c r="G362" i="12"/>
  <c r="G361" i="12"/>
  <c r="G360" i="12"/>
  <c r="G359" i="12"/>
  <c r="G358" i="12"/>
  <c r="G357" i="12"/>
  <c r="G356" i="12"/>
  <c r="G355" i="12"/>
  <c r="G354" i="12"/>
  <c r="G353" i="12"/>
  <c r="G352" i="12"/>
  <c r="G351" i="12"/>
  <c r="G350" i="12"/>
  <c r="G349" i="12"/>
  <c r="G348" i="12"/>
  <c r="G347" i="12"/>
  <c r="G346" i="12"/>
  <c r="G345" i="12"/>
  <c r="G344" i="12"/>
  <c r="G343" i="12"/>
  <c r="G342" i="12"/>
  <c r="G341" i="12"/>
  <c r="G340" i="12"/>
  <c r="G339" i="12"/>
  <c r="G338" i="12"/>
  <c r="G337" i="12"/>
  <c r="G336" i="12"/>
  <c r="G335" i="12"/>
  <c r="G334" i="12"/>
  <c r="G333" i="12"/>
  <c r="G332" i="12"/>
  <c r="G331" i="12"/>
  <c r="G330" i="12"/>
  <c r="G329" i="12"/>
  <c r="G328" i="12"/>
  <c r="G327" i="12"/>
  <c r="G326" i="12"/>
  <c r="G325" i="12"/>
  <c r="G324" i="12"/>
  <c r="G323" i="12"/>
  <c r="G322" i="12"/>
  <c r="G321" i="12"/>
  <c r="G320" i="12"/>
  <c r="G319" i="12"/>
  <c r="G318" i="12"/>
  <c r="G317" i="12"/>
  <c r="G316" i="12"/>
  <c r="G315" i="12"/>
  <c r="G314" i="12"/>
  <c r="G313" i="12"/>
  <c r="G312" i="12"/>
  <c r="G311" i="12"/>
  <c r="G310" i="12"/>
  <c r="G309" i="12"/>
  <c r="G308" i="12"/>
  <c r="G307" i="12"/>
  <c r="G306" i="12"/>
  <c r="G305" i="12"/>
  <c r="G304" i="12"/>
  <c r="G303" i="12"/>
  <c r="G302" i="12"/>
  <c r="G301" i="12"/>
  <c r="G300" i="12"/>
  <c r="G299" i="12"/>
  <c r="G298" i="12"/>
  <c r="G297" i="12"/>
  <c r="G296" i="12"/>
  <c r="G295" i="12"/>
  <c r="G294" i="12"/>
  <c r="G293" i="12"/>
  <c r="G292" i="12"/>
  <c r="G291" i="12"/>
  <c r="G290" i="12"/>
  <c r="G289" i="12"/>
  <c r="G288" i="12"/>
  <c r="G287" i="12"/>
  <c r="G286" i="12"/>
  <c r="G285" i="12"/>
  <c r="G284" i="12"/>
  <c r="G283" i="12"/>
  <c r="G282" i="12"/>
  <c r="G281" i="12"/>
  <c r="G280" i="12"/>
  <c r="G279" i="12"/>
  <c r="G278" i="12"/>
  <c r="G277" i="12"/>
  <c r="G276" i="12"/>
  <c r="G275" i="12"/>
  <c r="G274" i="12"/>
  <c r="G273" i="12"/>
  <c r="G272" i="12"/>
  <c r="G271" i="12"/>
  <c r="G270" i="12"/>
  <c r="G269" i="12"/>
  <c r="G268" i="12"/>
  <c r="G267" i="12"/>
  <c r="G266" i="12"/>
  <c r="G265" i="12"/>
  <c r="G264" i="12"/>
  <c r="G263" i="12"/>
  <c r="G262" i="12"/>
  <c r="G261" i="12"/>
  <c r="G260" i="12"/>
  <c r="G259" i="12"/>
  <c r="G258" i="12"/>
  <c r="G257" i="12"/>
  <c r="G256" i="12"/>
  <c r="G255" i="12"/>
  <c r="G254" i="12"/>
  <c r="G253" i="12"/>
  <c r="G252" i="12"/>
  <c r="G251" i="12"/>
  <c r="G250" i="12"/>
  <c r="G249" i="12"/>
  <c r="G248"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G217" i="12"/>
  <c r="G216" i="12"/>
  <c r="G215" i="12"/>
  <c r="G214" i="12"/>
  <c r="G213" i="12"/>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3"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Z414" i="7" l="1"/>
  <c r="Z413" i="7"/>
  <c r="Z412" i="7"/>
  <c r="Z411" i="7"/>
  <c r="Z410" i="7"/>
  <c r="Z409" i="7"/>
  <c r="Z408" i="7"/>
  <c r="Z407" i="7"/>
  <c r="Z406" i="7"/>
  <c r="Z405" i="7"/>
  <c r="Z404" i="7"/>
  <c r="Z403" i="7"/>
  <c r="Z402" i="7"/>
  <c r="Z401" i="7"/>
  <c r="Z400" i="7"/>
  <c r="Z399" i="7"/>
  <c r="Z398" i="7"/>
  <c r="Z397" i="7"/>
  <c r="Z396" i="7"/>
  <c r="Z395" i="7"/>
  <c r="Z394" i="7"/>
  <c r="Z393" i="7"/>
  <c r="Z392" i="7"/>
  <c r="Z391" i="7"/>
  <c r="Z390" i="7"/>
  <c r="Z389" i="7"/>
  <c r="Z388" i="7"/>
  <c r="Z387" i="7"/>
  <c r="Z386" i="7"/>
  <c r="Z385" i="7"/>
  <c r="Z384" i="7"/>
  <c r="Z383" i="7"/>
  <c r="Z382" i="7"/>
  <c r="Z381" i="7"/>
  <c r="Z380" i="7"/>
  <c r="Z379" i="7"/>
  <c r="Z378" i="7"/>
  <c r="Z377" i="7"/>
  <c r="Z376" i="7"/>
  <c r="Z375" i="7"/>
  <c r="Z374" i="7"/>
  <c r="Z373" i="7"/>
  <c r="Z372" i="7"/>
  <c r="Z371" i="7"/>
  <c r="Z370" i="7"/>
  <c r="Z369" i="7"/>
  <c r="Z368" i="7"/>
  <c r="Z367" i="7"/>
  <c r="Z366" i="7"/>
  <c r="Z365" i="7"/>
  <c r="Z364" i="7"/>
  <c r="Z363" i="7"/>
  <c r="Z362" i="7"/>
  <c r="Z361" i="7"/>
  <c r="Z360" i="7"/>
  <c r="Z359" i="7"/>
  <c r="Z358" i="7"/>
  <c r="Z357" i="7"/>
  <c r="Z356" i="7"/>
  <c r="Z355" i="7"/>
  <c r="Z354" i="7"/>
  <c r="Z353" i="7"/>
  <c r="Z352" i="7"/>
  <c r="Z351" i="7"/>
  <c r="Z350" i="7"/>
  <c r="Z349" i="7"/>
  <c r="Z348" i="7"/>
  <c r="Z347" i="7"/>
  <c r="Z346" i="7"/>
  <c r="Z345" i="7"/>
  <c r="Z344" i="7"/>
  <c r="Z343" i="7"/>
  <c r="Z342" i="7"/>
  <c r="Z341" i="7"/>
  <c r="Z340" i="7"/>
  <c r="Z339" i="7"/>
  <c r="Z338" i="7"/>
  <c r="Z337" i="7"/>
  <c r="Z336" i="7"/>
  <c r="Z335" i="7"/>
  <c r="Z334" i="7"/>
  <c r="Z333" i="7"/>
  <c r="Z332" i="7"/>
  <c r="Z331" i="7"/>
  <c r="Z330" i="7"/>
  <c r="Z329" i="7"/>
  <c r="Z328" i="7"/>
  <c r="Z327" i="7"/>
  <c r="Z326" i="7"/>
  <c r="Z325" i="7"/>
  <c r="Z324" i="7"/>
  <c r="Z323" i="7"/>
  <c r="Z322" i="7"/>
  <c r="Z321" i="7"/>
  <c r="Z320" i="7"/>
  <c r="Z319" i="7"/>
  <c r="Z318" i="7"/>
  <c r="Z317" i="7"/>
  <c r="Z316" i="7"/>
  <c r="Z315" i="7"/>
  <c r="Z314" i="7"/>
  <c r="Z313" i="7"/>
  <c r="Z312" i="7"/>
  <c r="Z311" i="7"/>
  <c r="Z310" i="7"/>
  <c r="Z309" i="7"/>
  <c r="Z308" i="7"/>
  <c r="Z307" i="7"/>
  <c r="Z306" i="7"/>
  <c r="Z305" i="7"/>
  <c r="Z304" i="7"/>
  <c r="Z303" i="7"/>
  <c r="Z302" i="7"/>
  <c r="Z301" i="7"/>
  <c r="Z300" i="7"/>
  <c r="Z299" i="7"/>
  <c r="Z298" i="7"/>
  <c r="Z297" i="7"/>
  <c r="Z296" i="7"/>
  <c r="Z295" i="7"/>
  <c r="Z294" i="7"/>
  <c r="Z293" i="7"/>
  <c r="Z292" i="7"/>
  <c r="Z291" i="7"/>
  <c r="Z290" i="7"/>
  <c r="Z289" i="7"/>
  <c r="Z288" i="7"/>
  <c r="Z287" i="7"/>
  <c r="Z286" i="7"/>
  <c r="Z285" i="7"/>
  <c r="Z284" i="7"/>
  <c r="Z283" i="7"/>
  <c r="Z282" i="7"/>
  <c r="Z281" i="7"/>
  <c r="Z280" i="7"/>
  <c r="Z279" i="7"/>
  <c r="Z278" i="7"/>
  <c r="Z277" i="7"/>
  <c r="Z276" i="7"/>
  <c r="Z275" i="7"/>
  <c r="Z274" i="7"/>
  <c r="Z273" i="7"/>
  <c r="Z272" i="7"/>
  <c r="Z271" i="7"/>
  <c r="Z270" i="7"/>
  <c r="Z269" i="7"/>
  <c r="Z268" i="7"/>
  <c r="Z267" i="7"/>
  <c r="Z266" i="7"/>
  <c r="Z265" i="7"/>
  <c r="Z264" i="7"/>
  <c r="Z263" i="7"/>
  <c r="Z262" i="7"/>
  <c r="Z261" i="7"/>
  <c r="Z260"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1" i="7"/>
  <c r="Z140" i="7"/>
  <c r="Z139" i="7"/>
  <c r="Z138" i="7"/>
  <c r="Z137" i="7"/>
  <c r="Z136" i="7"/>
  <c r="Z135" i="7"/>
  <c r="Z134" i="7"/>
  <c r="Z133" i="7"/>
  <c r="Z132" i="7"/>
  <c r="Z131" i="7"/>
  <c r="Z130" i="7"/>
  <c r="Z129" i="7"/>
  <c r="Z128" i="7"/>
  <c r="Z127" i="7"/>
  <c r="Z126" i="7"/>
  <c r="Z125" i="7"/>
  <c r="Z124" i="7"/>
  <c r="Z123" i="7"/>
  <c r="Z122"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R416" i="7" l="1"/>
  <c r="V30" i="5"/>
  <c r="F414" i="12" l="1"/>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Q15" i="2" l="1"/>
  <c r="F63" i="2"/>
  <c r="A61" i="2"/>
  <c r="A15" i="7" l="1"/>
  <c r="B16" i="7"/>
  <c r="A16" i="7"/>
  <c r="R103" i="5" l="1"/>
  <c r="P103" i="5"/>
  <c r="R113" i="5" l="1"/>
  <c r="P113" i="5"/>
  <c r="J169" i="5" l="1"/>
  <c r="J166" i="5"/>
  <c r="J158" i="5"/>
  <c r="T171" i="5" s="1"/>
  <c r="D228" i="5" l="1"/>
  <c r="T172" i="5"/>
  <c r="T13" i="8" l="1"/>
  <c r="V10" i="8"/>
  <c r="U10" i="8" s="1"/>
  <c r="G15" i="2" l="1"/>
  <c r="A7" i="2"/>
  <c r="V11" i="8" l="1"/>
  <c r="I109" i="8"/>
  <c r="J92" i="8"/>
  <c r="A8" i="6" l="1"/>
  <c r="U8" i="6" s="1"/>
  <c r="K8" i="6" l="1"/>
  <c r="S9" i="2"/>
  <c r="F18" i="5" s="1"/>
  <c r="I48" i="2"/>
  <c r="Y4" i="7" s="1"/>
  <c r="N5" i="12" s="1"/>
  <c r="P27" i="5"/>
  <c r="GH13" i="5" s="1"/>
  <c r="R27" i="5"/>
  <c r="GK13" i="5" s="1"/>
  <c r="GJ13" i="5"/>
  <c r="GI13" i="5"/>
  <c r="GK12" i="5"/>
  <c r="GJ12" i="5"/>
  <c r="GI12" i="5"/>
  <c r="GH12" i="5"/>
  <c r="GG12" i="5"/>
  <c r="H27" i="5"/>
  <c r="H31" i="5"/>
  <c r="H33" i="5"/>
  <c r="H44" i="5"/>
  <c r="H46" i="5"/>
  <c r="H118" i="5"/>
  <c r="H54" i="5"/>
  <c r="H61" i="5"/>
  <c r="H71" i="5"/>
  <c r="H77" i="5"/>
  <c r="H82" i="5"/>
  <c r="H88" i="5"/>
  <c r="H99" i="5"/>
  <c r="H101" i="5"/>
  <c r="H104" i="5"/>
  <c r="H114" i="5"/>
  <c r="H116" i="5"/>
  <c r="H119" i="5"/>
  <c r="H120" i="5"/>
  <c r="H135" i="5"/>
  <c r="H137" i="5"/>
  <c r="F217" i="5"/>
  <c r="F102" i="5"/>
  <c r="N23" i="5"/>
  <c r="N29" i="5"/>
  <c r="N31" i="5"/>
  <c r="N144" i="5"/>
  <c r="N145" i="5"/>
  <c r="L161" i="5"/>
  <c r="N160" i="5"/>
  <c r="GE13" i="5"/>
  <c r="FY13" i="5"/>
  <c r="GF12" i="5"/>
  <c r="GE12" i="5"/>
  <c r="GD12" i="5"/>
  <c r="GC12" i="5"/>
  <c r="GB12" i="5"/>
  <c r="GA12" i="5"/>
  <c r="FZ12" i="5"/>
  <c r="FY12" i="5"/>
  <c r="N149" i="5"/>
  <c r="FQ13" i="5"/>
  <c r="N147" i="5"/>
  <c r="FO13" i="5"/>
  <c r="FM13" i="5"/>
  <c r="FL13" i="5"/>
  <c r="FX12" i="5"/>
  <c r="FW12" i="5"/>
  <c r="FV12" i="5"/>
  <c r="FU12" i="5"/>
  <c r="FT12" i="5"/>
  <c r="FS12" i="5"/>
  <c r="FR12" i="5"/>
  <c r="FQ12" i="5"/>
  <c r="FP12" i="5"/>
  <c r="FO12" i="5"/>
  <c r="FN12" i="5"/>
  <c r="FM12" i="5"/>
  <c r="FL12" i="5"/>
  <c r="FK12" i="5"/>
  <c r="FJ12" i="5"/>
  <c r="FI12" i="5"/>
  <c r="FH12" i="5"/>
  <c r="FG12" i="5"/>
  <c r="FF12" i="5"/>
  <c r="FE12" i="5"/>
  <c r="FD12" i="5"/>
  <c r="FC12" i="5"/>
  <c r="FB12" i="5"/>
  <c r="FA12" i="5"/>
  <c r="EZ12" i="5"/>
  <c r="EY12" i="5"/>
  <c r="EX12" i="5"/>
  <c r="EW12" i="5"/>
  <c r="EV12" i="5"/>
  <c r="EP12" i="5"/>
  <c r="EU12" i="5"/>
  <c r="ET12" i="5"/>
  <c r="ES12" i="5"/>
  <c r="ER12" i="5"/>
  <c r="EQ12" i="5"/>
  <c r="EO12" i="5"/>
  <c r="EN12" i="5"/>
  <c r="EM12" i="5"/>
  <c r="EL12" i="5"/>
  <c r="EK12" i="5"/>
  <c r="EJ12" i="5"/>
  <c r="EI12" i="5"/>
  <c r="EH12" i="5"/>
  <c r="EG12" i="5"/>
  <c r="EF12" i="5"/>
  <c r="EE12" i="5"/>
  <c r="ED12" i="5"/>
  <c r="EC12" i="5"/>
  <c r="EB12" i="5"/>
  <c r="EA12" i="5"/>
  <c r="DZ12" i="5"/>
  <c r="DY12" i="5"/>
  <c r="DX12" i="5"/>
  <c r="DW12" i="5"/>
  <c r="DV12" i="5"/>
  <c r="DU12" i="5"/>
  <c r="DT12" i="5"/>
  <c r="DS12" i="5"/>
  <c r="DR12" i="5"/>
  <c r="DQ12" i="5"/>
  <c r="DL12" i="5"/>
  <c r="DM12" i="5"/>
  <c r="DN12" i="5"/>
  <c r="DO12" i="5"/>
  <c r="DP12" i="5"/>
  <c r="DK12" i="5"/>
  <c r="DJ12" i="5"/>
  <c r="DI12" i="5"/>
  <c r="DH12" i="5"/>
  <c r="DG12" i="5"/>
  <c r="DF12" i="5"/>
  <c r="DE12" i="5"/>
  <c r="DD12" i="5"/>
  <c r="DC12" i="5"/>
  <c r="DB12" i="5"/>
  <c r="DA12" i="5"/>
  <c r="CZ12" i="5"/>
  <c r="CY12" i="5"/>
  <c r="CX12" i="5"/>
  <c r="CW12" i="5"/>
  <c r="CV12" i="5"/>
  <c r="CU12" i="5"/>
  <c r="CT13" i="5"/>
  <c r="CR13" i="5"/>
  <c r="CT12" i="5"/>
  <c r="CS12" i="5"/>
  <c r="CR12" i="5"/>
  <c r="CQ12" i="5"/>
  <c r="CP12" i="5"/>
  <c r="L31" i="5"/>
  <c r="CN13" i="5"/>
  <c r="CO12" i="5"/>
  <c r="CN12" i="5"/>
  <c r="BY12" i="5"/>
  <c r="CH13" i="5"/>
  <c r="CM12" i="5"/>
  <c r="CL12" i="5"/>
  <c r="CK12" i="5"/>
  <c r="CJ12" i="5"/>
  <c r="CI12" i="5"/>
  <c r="CH12" i="5"/>
  <c r="CG12" i="5"/>
  <c r="CF12" i="5"/>
  <c r="CE12" i="5"/>
  <c r="CD12" i="5"/>
  <c r="CC12" i="5"/>
  <c r="CB12" i="5"/>
  <c r="CA12" i="5"/>
  <c r="BZ12" i="5"/>
  <c r="BX12" i="5"/>
  <c r="BW12" i="5"/>
  <c r="BV12" i="5"/>
  <c r="BU12" i="5"/>
  <c r="BT12" i="5"/>
  <c r="BS12" i="5"/>
  <c r="BR12" i="5"/>
  <c r="BQ12" i="5"/>
  <c r="BP12" i="5"/>
  <c r="BO12" i="5"/>
  <c r="BN12" i="5"/>
  <c r="BM12" i="5"/>
  <c r="BL12" i="5"/>
  <c r="BK12" i="5"/>
  <c r="BJ12" i="5"/>
  <c r="BC12" i="5"/>
  <c r="BI12" i="5"/>
  <c r="BH12" i="5"/>
  <c r="BG12" i="5"/>
  <c r="BF12" i="5"/>
  <c r="BE12" i="5"/>
  <c r="BD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3" i="5"/>
  <c r="G12" i="5"/>
  <c r="E13" i="5"/>
  <c r="F12" i="5"/>
  <c r="E12" i="5"/>
  <c r="D12" i="5"/>
  <c r="C12" i="5"/>
  <c r="FN7" i="5"/>
  <c r="FM7" i="5"/>
  <c r="FL7" i="5"/>
  <c r="FK7" i="5"/>
  <c r="FJ7" i="5"/>
  <c r="DJ10" i="5"/>
  <c r="DJ9" i="5"/>
  <c r="DI9" i="5"/>
  <c r="DI10" i="5"/>
  <c r="DH9" i="5"/>
  <c r="DH10" i="5"/>
  <c r="FN6" i="5"/>
  <c r="FM6" i="5"/>
  <c r="FL6" i="5"/>
  <c r="FK6" i="5"/>
  <c r="FJ6" i="5"/>
  <c r="DK10" i="5"/>
  <c r="DK9" i="5"/>
  <c r="B7" i="2"/>
  <c r="B10" i="5" s="1"/>
  <c r="A13" i="5"/>
  <c r="B245" i="5"/>
  <c r="B242" i="5"/>
  <c r="B238" i="5"/>
  <c r="O24" i="11"/>
  <c r="F114" i="5"/>
  <c r="J114" i="5" s="1"/>
  <c r="F135" i="5"/>
  <c r="I119" i="5"/>
  <c r="J107" i="5"/>
  <c r="J108" i="5"/>
  <c r="W414" i="7"/>
  <c r="W413" i="7"/>
  <c r="W412" i="7"/>
  <c r="W411" i="7"/>
  <c r="W410" i="7"/>
  <c r="W409" i="7"/>
  <c r="W408" i="7"/>
  <c r="W407" i="7"/>
  <c r="W406" i="7"/>
  <c r="W405" i="7"/>
  <c r="W404" i="7"/>
  <c r="W403" i="7"/>
  <c r="W402" i="7"/>
  <c r="W401" i="7"/>
  <c r="W400" i="7"/>
  <c r="W399" i="7"/>
  <c r="W398" i="7"/>
  <c r="W397" i="7"/>
  <c r="W396" i="7"/>
  <c r="W395" i="7"/>
  <c r="W394" i="7"/>
  <c r="W393" i="7"/>
  <c r="W392" i="7"/>
  <c r="W391" i="7"/>
  <c r="W390" i="7"/>
  <c r="W389" i="7"/>
  <c r="W388" i="7"/>
  <c r="W387" i="7"/>
  <c r="W386" i="7"/>
  <c r="W385" i="7"/>
  <c r="W384" i="7"/>
  <c r="W383" i="7"/>
  <c r="W382" i="7"/>
  <c r="W381" i="7"/>
  <c r="W380" i="7"/>
  <c r="W379" i="7"/>
  <c r="W378" i="7"/>
  <c r="W377" i="7"/>
  <c r="W376" i="7"/>
  <c r="W375" i="7"/>
  <c r="W374" i="7"/>
  <c r="W373" i="7"/>
  <c r="W372" i="7"/>
  <c r="W371" i="7"/>
  <c r="W370" i="7"/>
  <c r="W369" i="7"/>
  <c r="W368" i="7"/>
  <c r="W367" i="7"/>
  <c r="W366" i="7"/>
  <c r="W365" i="7"/>
  <c r="W364" i="7"/>
  <c r="W363" i="7"/>
  <c r="W362" i="7"/>
  <c r="W361" i="7"/>
  <c r="W360" i="7"/>
  <c r="W359" i="7"/>
  <c r="W358" i="7"/>
  <c r="W357" i="7"/>
  <c r="W356" i="7"/>
  <c r="W355" i="7"/>
  <c r="W354" i="7"/>
  <c r="W353" i="7"/>
  <c r="W352" i="7"/>
  <c r="W351" i="7"/>
  <c r="W350" i="7"/>
  <c r="W349" i="7"/>
  <c r="W348" i="7"/>
  <c r="W347" i="7"/>
  <c r="W346" i="7"/>
  <c r="W345" i="7"/>
  <c r="W344" i="7"/>
  <c r="W343" i="7"/>
  <c r="W342" i="7"/>
  <c r="W341" i="7"/>
  <c r="W340" i="7"/>
  <c r="W339" i="7"/>
  <c r="W338" i="7"/>
  <c r="W337" i="7"/>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W298" i="7"/>
  <c r="W297" i="7"/>
  <c r="W296" i="7"/>
  <c r="W295"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W258" i="7"/>
  <c r="W257" i="7"/>
  <c r="W256" i="7"/>
  <c r="W255" i="7"/>
  <c r="W254" i="7"/>
  <c r="W253" i="7"/>
  <c r="W252" i="7"/>
  <c r="W251" i="7"/>
  <c r="W250" i="7"/>
  <c r="W249" i="7"/>
  <c r="W248" i="7"/>
  <c r="W247" i="7"/>
  <c r="W246" i="7"/>
  <c r="W245" i="7"/>
  <c r="W244" i="7"/>
  <c r="W243" i="7"/>
  <c r="W242" i="7"/>
  <c r="W241" i="7"/>
  <c r="W240" i="7"/>
  <c r="W239" i="7"/>
  <c r="W238" i="7"/>
  <c r="W237" i="7"/>
  <c r="W236" i="7"/>
  <c r="W235" i="7"/>
  <c r="W234" i="7"/>
  <c r="W233" i="7"/>
  <c r="W232" i="7"/>
  <c r="W231" i="7"/>
  <c r="W230" i="7"/>
  <c r="W229" i="7"/>
  <c r="W228" i="7"/>
  <c r="W227" i="7"/>
  <c r="W226" i="7"/>
  <c r="W225" i="7"/>
  <c r="W224" i="7"/>
  <c r="W223" i="7"/>
  <c r="W222" i="7"/>
  <c r="W221" i="7"/>
  <c r="W220" i="7"/>
  <c r="W219" i="7"/>
  <c r="W218" i="7"/>
  <c r="W217" i="7"/>
  <c r="W216" i="7"/>
  <c r="W215" i="7"/>
  <c r="W214" i="7"/>
  <c r="W213" i="7"/>
  <c r="W212" i="7"/>
  <c r="W211" i="7"/>
  <c r="W210" i="7"/>
  <c r="W209" i="7"/>
  <c r="W208" i="7"/>
  <c r="W207" i="7"/>
  <c r="W206" i="7"/>
  <c r="W205"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W178" i="7"/>
  <c r="W177" i="7"/>
  <c r="W176" i="7"/>
  <c r="W175" i="7"/>
  <c r="W174" i="7"/>
  <c r="W173" i="7"/>
  <c r="W172" i="7"/>
  <c r="W171" i="7"/>
  <c r="W170" i="7"/>
  <c r="W169" i="7"/>
  <c r="W168" i="7"/>
  <c r="W167" i="7"/>
  <c r="W166" i="7"/>
  <c r="W165" i="7"/>
  <c r="W164" i="7"/>
  <c r="W163" i="7"/>
  <c r="W162" i="7"/>
  <c r="W161" i="7"/>
  <c r="W160" i="7"/>
  <c r="W159" i="7"/>
  <c r="W158" i="7"/>
  <c r="W157" i="7"/>
  <c r="W156" i="7"/>
  <c r="W155" i="7"/>
  <c r="W154" i="7"/>
  <c r="W153" i="7"/>
  <c r="W152" i="7"/>
  <c r="W151" i="7"/>
  <c r="W150" i="7"/>
  <c r="W149" i="7"/>
  <c r="W148" i="7"/>
  <c r="W147" i="7"/>
  <c r="W146" i="7"/>
  <c r="W145" i="7"/>
  <c r="W144" i="7"/>
  <c r="W143" i="7"/>
  <c r="W142" i="7"/>
  <c r="W141" i="7"/>
  <c r="W140" i="7"/>
  <c r="W139" i="7"/>
  <c r="W138" i="7"/>
  <c r="W137" i="7"/>
  <c r="W136"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F56" i="13"/>
  <c r="F55" i="13"/>
  <c r="F54" i="13"/>
  <c r="F53" i="13"/>
  <c r="F52" i="13"/>
  <c r="F51" i="13"/>
  <c r="F50" i="13"/>
  <c r="F49" i="13"/>
  <c r="F45" i="13"/>
  <c r="F44" i="13"/>
  <c r="F43" i="13"/>
  <c r="F42" i="13"/>
  <c r="F41" i="13"/>
  <c r="F40" i="13"/>
  <c r="F39" i="13"/>
  <c r="F38" i="13"/>
  <c r="AC14" i="7"/>
  <c r="AC13" i="7"/>
  <c r="AE13" i="7"/>
  <c r="AE14" i="7"/>
  <c r="W15" i="7"/>
  <c r="EU7" i="2"/>
  <c r="M17" i="13"/>
  <c r="M16" i="13"/>
  <c r="M15" i="13"/>
  <c r="ET7" i="2"/>
  <c r="ES7" i="2"/>
  <c r="ER7" i="2"/>
  <c r="EQ7" i="2"/>
  <c r="R63" i="2"/>
  <c r="O63" i="2" s="1"/>
  <c r="A44" i="2"/>
  <c r="A45" i="2"/>
  <c r="A46" i="2"/>
  <c r="A47" i="2"/>
  <c r="A43" i="2"/>
  <c r="BI7" i="2"/>
  <c r="BH7" i="2"/>
  <c r="AR7" i="2"/>
  <c r="AQ7" i="2"/>
  <c r="AP7" i="2"/>
  <c r="L47" i="2"/>
  <c r="L46" i="2"/>
  <c r="L45" i="2"/>
  <c r="L44" i="2"/>
  <c r="L41" i="2"/>
  <c r="L43" i="2"/>
  <c r="L42" i="2"/>
  <c r="A42" i="2"/>
  <c r="A41" i="2"/>
  <c r="AA13" i="7"/>
  <c r="AB13" i="7"/>
  <c r="AD13" i="7"/>
  <c r="AF13" i="7"/>
  <c r="AG13" i="7"/>
  <c r="AA14" i="7"/>
  <c r="AB14" i="7"/>
  <c r="AD14" i="7"/>
  <c r="AF14" i="7"/>
  <c r="AG14" i="7"/>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216" i="12"/>
  <c r="R217" i="12"/>
  <c r="R218" i="12"/>
  <c r="R219" i="12"/>
  <c r="R220" i="12"/>
  <c r="R221" i="12"/>
  <c r="R222" i="12"/>
  <c r="R223" i="12"/>
  <c r="R224" i="12"/>
  <c r="R225" i="12"/>
  <c r="R226" i="12"/>
  <c r="R227" i="12"/>
  <c r="R228" i="12"/>
  <c r="R229" i="12"/>
  <c r="R230" i="12"/>
  <c r="R231" i="12"/>
  <c r="R232" i="12"/>
  <c r="R233" i="12"/>
  <c r="R234" i="12"/>
  <c r="R235" i="12"/>
  <c r="R236" i="12"/>
  <c r="R237" i="12"/>
  <c r="R238" i="12"/>
  <c r="R239" i="12"/>
  <c r="R240" i="12"/>
  <c r="R241" i="12"/>
  <c r="R242" i="12"/>
  <c r="R243" i="12"/>
  <c r="R244" i="12"/>
  <c r="R245" i="12"/>
  <c r="R246" i="12"/>
  <c r="R247" i="12"/>
  <c r="R248" i="12"/>
  <c r="R249" i="12"/>
  <c r="R250" i="12"/>
  <c r="R251" i="12"/>
  <c r="R252" i="12"/>
  <c r="R253" i="12"/>
  <c r="R254" i="12"/>
  <c r="R255" i="12"/>
  <c r="R256" i="12"/>
  <c r="R257" i="12"/>
  <c r="R258" i="12"/>
  <c r="R259" i="12"/>
  <c r="R260" i="12"/>
  <c r="R261" i="12"/>
  <c r="R262" i="12"/>
  <c r="R263" i="12"/>
  <c r="R264" i="12"/>
  <c r="R265" i="12"/>
  <c r="R266"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R318" i="12"/>
  <c r="R319" i="12"/>
  <c r="R320" i="12"/>
  <c r="R321" i="12"/>
  <c r="R322" i="12"/>
  <c r="R323" i="12"/>
  <c r="R324" i="12"/>
  <c r="R325" i="12"/>
  <c r="R326" i="12"/>
  <c r="R327" i="12"/>
  <c r="R328" i="12"/>
  <c r="R329" i="12"/>
  <c r="R330" i="12"/>
  <c r="R331" i="12"/>
  <c r="R332" i="12"/>
  <c r="R333" i="12"/>
  <c r="R334" i="12"/>
  <c r="R335" i="12"/>
  <c r="R336" i="12"/>
  <c r="R337" i="12"/>
  <c r="R338" i="12"/>
  <c r="R339" i="12"/>
  <c r="R340" i="12"/>
  <c r="R341" i="12"/>
  <c r="R342" i="12"/>
  <c r="R343" i="12"/>
  <c r="R344" i="12"/>
  <c r="R345" i="12"/>
  <c r="R346" i="12"/>
  <c r="R347" i="12"/>
  <c r="R348" i="12"/>
  <c r="R349" i="12"/>
  <c r="R350" i="12"/>
  <c r="R351" i="12"/>
  <c r="R352" i="12"/>
  <c r="R353" i="12"/>
  <c r="R354" i="12"/>
  <c r="R355" i="12"/>
  <c r="R356" i="12"/>
  <c r="R357" i="12"/>
  <c r="R358" i="12"/>
  <c r="R359" i="12"/>
  <c r="R360" i="12"/>
  <c r="R361" i="12"/>
  <c r="R362" i="12"/>
  <c r="R363" i="12"/>
  <c r="R364" i="12"/>
  <c r="R365" i="12"/>
  <c r="R366" i="12"/>
  <c r="R367" i="12"/>
  <c r="R368" i="12"/>
  <c r="R369" i="12"/>
  <c r="R370" i="12"/>
  <c r="R371" i="12"/>
  <c r="R372" i="12"/>
  <c r="R373" i="12"/>
  <c r="R374" i="12"/>
  <c r="R375" i="12"/>
  <c r="R376" i="12"/>
  <c r="R377" i="12"/>
  <c r="R378" i="12"/>
  <c r="R379" i="12"/>
  <c r="R380" i="12"/>
  <c r="R381" i="12"/>
  <c r="R382" i="12"/>
  <c r="R383" i="12"/>
  <c r="R384" i="12"/>
  <c r="R385" i="12"/>
  <c r="R386" i="12"/>
  <c r="R387" i="12"/>
  <c r="R388" i="12"/>
  <c r="R389" i="12"/>
  <c r="R390" i="12"/>
  <c r="R391" i="12"/>
  <c r="R392" i="12"/>
  <c r="R393" i="12"/>
  <c r="R394" i="12"/>
  <c r="R395" i="12"/>
  <c r="R396" i="12"/>
  <c r="R397" i="12"/>
  <c r="R398" i="12"/>
  <c r="R399" i="12"/>
  <c r="R400" i="12"/>
  <c r="R401" i="12"/>
  <c r="R402" i="12"/>
  <c r="R403" i="12"/>
  <c r="R404" i="12"/>
  <c r="R405" i="12"/>
  <c r="R406" i="12"/>
  <c r="R407" i="12"/>
  <c r="R408" i="12"/>
  <c r="R409" i="12"/>
  <c r="R410" i="12"/>
  <c r="R411" i="12"/>
  <c r="R412" i="12"/>
  <c r="R413" i="12"/>
  <c r="R414" i="12"/>
  <c r="R16" i="12"/>
  <c r="R17" i="12"/>
  <c r="R18" i="12"/>
  <c r="R15" i="12"/>
  <c r="C57" i="11"/>
  <c r="E44" i="11"/>
  <c r="I29" i="3"/>
  <c r="I21" i="3"/>
  <c r="I15" i="3"/>
  <c r="H15" i="3"/>
  <c r="H13" i="3"/>
  <c r="D1" i="4"/>
  <c r="G2" i="3"/>
  <c r="G50" i="2"/>
  <c r="AO7" i="2" s="1"/>
  <c r="Q10" i="13"/>
  <c r="M14" i="13" s="1"/>
  <c r="B156" i="1"/>
  <c r="B154" i="1"/>
  <c r="B152" i="1"/>
  <c r="B150" i="1"/>
  <c r="B148" i="1"/>
  <c r="B139" i="1"/>
  <c r="B83" i="1"/>
  <c r="B11" i="1"/>
  <c r="B9" i="1"/>
  <c r="B7" i="1"/>
  <c r="B5" i="1"/>
  <c r="A2" i="13"/>
  <c r="X4" i="7"/>
  <c r="M4" i="13" s="1"/>
  <c r="A17" i="13"/>
  <c r="F38" i="11"/>
  <c r="F37" i="11"/>
  <c r="F36" i="11"/>
  <c r="F35" i="11"/>
  <c r="E34" i="11"/>
  <c r="F32" i="11"/>
  <c r="F31" i="11"/>
  <c r="F30" i="11"/>
  <c r="E29" i="11" s="1"/>
  <c r="L40" i="13"/>
  <c r="L38" i="13"/>
  <c r="L36" i="13"/>
  <c r="L34" i="13"/>
  <c r="L32" i="13"/>
  <c r="L30" i="13"/>
  <c r="L28" i="13"/>
  <c r="L26" i="13"/>
  <c r="L24" i="13"/>
  <c r="L22" i="13"/>
  <c r="I40" i="13"/>
  <c r="I38" i="13"/>
  <c r="I36" i="13"/>
  <c r="I34" i="13"/>
  <c r="I32" i="13"/>
  <c r="I30" i="13"/>
  <c r="I28" i="13"/>
  <c r="I26" i="13"/>
  <c r="I24" i="13"/>
  <c r="I22" i="13"/>
  <c r="D14" i="13"/>
  <c r="D8" i="13"/>
  <c r="M9" i="13"/>
  <c r="M10" i="13"/>
  <c r="M8" i="13"/>
  <c r="Q8" i="13"/>
  <c r="M12" i="13" s="1"/>
  <c r="Q9" i="13"/>
  <c r="M13" i="13" s="1"/>
  <c r="Q7" i="13"/>
  <c r="M11" i="13" s="1"/>
  <c r="P8" i="13"/>
  <c r="D9" i="13" s="1"/>
  <c r="L4" i="13"/>
  <c r="A3" i="13"/>
  <c r="A54" i="2"/>
  <c r="A53" i="2"/>
  <c r="A52" i="2"/>
  <c r="A51" i="2"/>
  <c r="A49" i="2"/>
  <c r="A38" i="2"/>
  <c r="A50" i="2"/>
  <c r="C3" i="12"/>
  <c r="E14" i="6"/>
  <c r="E12" i="6"/>
  <c r="T219" i="5"/>
  <c r="E414" i="12"/>
  <c r="D414" i="12"/>
  <c r="Q414" i="12" s="1"/>
  <c r="E413" i="12"/>
  <c r="D413" i="12"/>
  <c r="Q413" i="12" s="1"/>
  <c r="E412" i="12"/>
  <c r="D412" i="12"/>
  <c r="Q412" i="12" s="1"/>
  <c r="E411" i="12"/>
  <c r="D411" i="12"/>
  <c r="Q411" i="12" s="1"/>
  <c r="E410" i="12"/>
  <c r="D410" i="12"/>
  <c r="E409" i="12"/>
  <c r="D409" i="12"/>
  <c r="E408" i="12"/>
  <c r="D408" i="12"/>
  <c r="E407" i="12"/>
  <c r="D407" i="12"/>
  <c r="E406" i="12"/>
  <c r="D406" i="12"/>
  <c r="E405" i="12"/>
  <c r="D405" i="12"/>
  <c r="Q405" i="12" s="1"/>
  <c r="E404" i="12"/>
  <c r="D404" i="12"/>
  <c r="E403" i="12"/>
  <c r="D403" i="12"/>
  <c r="Q403" i="12" s="1"/>
  <c r="E402" i="12"/>
  <c r="D402" i="12"/>
  <c r="Q402" i="12" s="1"/>
  <c r="E401" i="12"/>
  <c r="D401" i="12"/>
  <c r="E400" i="12"/>
  <c r="D400" i="12"/>
  <c r="E399" i="12"/>
  <c r="D399" i="12"/>
  <c r="E398" i="12"/>
  <c r="D398" i="12"/>
  <c r="E397" i="12"/>
  <c r="D397" i="12"/>
  <c r="Q397" i="12" s="1"/>
  <c r="E396" i="12"/>
  <c r="D396" i="12"/>
  <c r="E395" i="12"/>
  <c r="D395" i="12"/>
  <c r="Q395" i="12" s="1"/>
  <c r="E394" i="12"/>
  <c r="D394" i="12"/>
  <c r="Q394" i="12" s="1"/>
  <c r="E393" i="12"/>
  <c r="D393" i="12"/>
  <c r="E392" i="12"/>
  <c r="D392" i="12"/>
  <c r="E391" i="12"/>
  <c r="D391" i="12"/>
  <c r="E390" i="12"/>
  <c r="D390" i="12"/>
  <c r="Q390" i="12" s="1"/>
  <c r="E389" i="12"/>
  <c r="D389" i="12"/>
  <c r="Q389" i="12" s="1"/>
  <c r="E388" i="12"/>
  <c r="D388" i="12"/>
  <c r="E387" i="12"/>
  <c r="D387" i="12"/>
  <c r="Q387" i="12" s="1"/>
  <c r="E386" i="12"/>
  <c r="D386" i="12"/>
  <c r="E385" i="12"/>
  <c r="D385" i="12"/>
  <c r="E384" i="12"/>
  <c r="D384" i="12"/>
  <c r="E383" i="12"/>
  <c r="D383" i="12"/>
  <c r="E382" i="12"/>
  <c r="D382" i="12"/>
  <c r="Q382" i="12" s="1"/>
  <c r="E381" i="12"/>
  <c r="D381" i="12"/>
  <c r="Q381" i="12" s="1"/>
  <c r="E380" i="12"/>
  <c r="D380" i="12"/>
  <c r="Q380" i="12" s="1"/>
  <c r="E379" i="12"/>
  <c r="D379" i="12"/>
  <c r="Q379" i="12" s="1"/>
  <c r="E378" i="12"/>
  <c r="D378" i="12"/>
  <c r="E377" i="12"/>
  <c r="D377" i="12"/>
  <c r="E376" i="12"/>
  <c r="D376" i="12"/>
  <c r="E375" i="12"/>
  <c r="D375" i="12"/>
  <c r="E374" i="12"/>
  <c r="D374" i="12"/>
  <c r="Q374" i="12" s="1"/>
  <c r="E373" i="12"/>
  <c r="D373" i="12"/>
  <c r="Q373" i="12" s="1"/>
  <c r="E372" i="12"/>
  <c r="D372" i="12"/>
  <c r="E371" i="12"/>
  <c r="D371" i="12"/>
  <c r="Q371" i="12" s="1"/>
  <c r="E370" i="12"/>
  <c r="D370" i="12"/>
  <c r="Q370" i="12" s="1"/>
  <c r="E369" i="12"/>
  <c r="D369" i="12"/>
  <c r="E368" i="12"/>
  <c r="D368" i="12"/>
  <c r="E367" i="12"/>
  <c r="D367" i="12"/>
  <c r="E366" i="12"/>
  <c r="D366" i="12"/>
  <c r="E365" i="12"/>
  <c r="D365" i="12"/>
  <c r="Q365" i="12" s="1"/>
  <c r="E364" i="12"/>
  <c r="D364" i="12"/>
  <c r="E363" i="12"/>
  <c r="D363" i="12"/>
  <c r="Q363" i="12" s="1"/>
  <c r="E362" i="12"/>
  <c r="D362" i="12"/>
  <c r="Q362" i="12" s="1"/>
  <c r="E361" i="12"/>
  <c r="D361" i="12"/>
  <c r="E360" i="12"/>
  <c r="D360" i="12"/>
  <c r="E359" i="12"/>
  <c r="D359" i="12"/>
  <c r="E358" i="12"/>
  <c r="D358" i="12"/>
  <c r="E357" i="12"/>
  <c r="D357" i="12"/>
  <c r="Q357" i="12" s="1"/>
  <c r="E356" i="12"/>
  <c r="D356" i="12"/>
  <c r="E355" i="12"/>
  <c r="D355" i="12"/>
  <c r="Q355" i="12" s="1"/>
  <c r="E354" i="12"/>
  <c r="D354" i="12"/>
  <c r="E353" i="12"/>
  <c r="D353" i="12"/>
  <c r="E352" i="12"/>
  <c r="D352" i="12"/>
  <c r="E351" i="12"/>
  <c r="D351" i="12"/>
  <c r="E350" i="12"/>
  <c r="D350" i="12"/>
  <c r="Q350" i="12" s="1"/>
  <c r="E349" i="12"/>
  <c r="D349" i="12"/>
  <c r="Q349" i="12" s="1"/>
  <c r="E348" i="12"/>
  <c r="D348" i="12"/>
  <c r="Q348" i="12" s="1"/>
  <c r="E347" i="12"/>
  <c r="D347" i="12"/>
  <c r="Q347" i="12" s="1"/>
  <c r="E346" i="12"/>
  <c r="D346" i="12"/>
  <c r="Q346" i="12" s="1"/>
  <c r="E345" i="12"/>
  <c r="D345" i="12"/>
  <c r="E344" i="12"/>
  <c r="D344" i="12"/>
  <c r="E343" i="12"/>
  <c r="D343" i="12"/>
  <c r="E342" i="12"/>
  <c r="D342" i="12"/>
  <c r="E341" i="12"/>
  <c r="D341" i="12"/>
  <c r="Q341" i="12" s="1"/>
  <c r="E340" i="12"/>
  <c r="D340" i="12"/>
  <c r="E339" i="12"/>
  <c r="D339" i="12"/>
  <c r="Q339" i="12" s="1"/>
  <c r="E338" i="12"/>
  <c r="D338" i="12"/>
  <c r="E337" i="12"/>
  <c r="D337" i="12"/>
  <c r="E336" i="12"/>
  <c r="D336" i="12"/>
  <c r="E335" i="12"/>
  <c r="D335" i="12"/>
  <c r="E334" i="12"/>
  <c r="D334" i="12"/>
  <c r="Q334" i="12" s="1"/>
  <c r="E333" i="12"/>
  <c r="D333" i="12"/>
  <c r="Q333" i="12" s="1"/>
  <c r="E332" i="12"/>
  <c r="D332" i="12"/>
  <c r="E331" i="12"/>
  <c r="D331" i="12"/>
  <c r="Q331" i="12" s="1"/>
  <c r="E330" i="12"/>
  <c r="D330" i="12"/>
  <c r="E329" i="12"/>
  <c r="D329" i="12"/>
  <c r="E328" i="12"/>
  <c r="D328" i="12"/>
  <c r="E327" i="12"/>
  <c r="D327" i="12"/>
  <c r="E326" i="12"/>
  <c r="D326" i="12"/>
  <c r="Q326" i="12" s="1"/>
  <c r="E325" i="12"/>
  <c r="D325" i="12"/>
  <c r="Q325" i="12" s="1"/>
  <c r="E324" i="12"/>
  <c r="D324" i="12"/>
  <c r="E323" i="12"/>
  <c r="D323" i="12"/>
  <c r="Q323" i="12" s="1"/>
  <c r="E322" i="12"/>
  <c r="D322" i="12"/>
  <c r="Q322" i="12" s="1"/>
  <c r="E321" i="12"/>
  <c r="D321" i="12"/>
  <c r="E320" i="12"/>
  <c r="D320" i="12"/>
  <c r="E319" i="12"/>
  <c r="D319" i="12"/>
  <c r="E318" i="12"/>
  <c r="D318" i="12"/>
  <c r="E317" i="12"/>
  <c r="D317" i="12"/>
  <c r="Q317" i="12" s="1"/>
  <c r="E316" i="12"/>
  <c r="D316" i="12"/>
  <c r="Q316" i="12" s="1"/>
  <c r="E315" i="12"/>
  <c r="D315" i="12"/>
  <c r="Q315" i="12" s="1"/>
  <c r="E314" i="12"/>
  <c r="D314" i="12"/>
  <c r="E313" i="12"/>
  <c r="D313" i="12"/>
  <c r="E312" i="12"/>
  <c r="D312" i="12"/>
  <c r="E311" i="12"/>
  <c r="D311" i="12"/>
  <c r="E310" i="12"/>
  <c r="D310" i="12"/>
  <c r="E309" i="12"/>
  <c r="D309" i="12"/>
  <c r="Q309" i="12" s="1"/>
  <c r="E308" i="12"/>
  <c r="D308" i="12"/>
  <c r="E307" i="12"/>
  <c r="D307" i="12"/>
  <c r="Q307" i="12" s="1"/>
  <c r="E306" i="12"/>
  <c r="D306" i="12"/>
  <c r="Q306" i="12" s="1"/>
  <c r="E305" i="12"/>
  <c r="D305" i="12"/>
  <c r="E304" i="12"/>
  <c r="D304" i="12"/>
  <c r="E303" i="12"/>
  <c r="D303" i="12"/>
  <c r="E302" i="12"/>
  <c r="D302" i="12"/>
  <c r="Q302" i="12" s="1"/>
  <c r="E301" i="12"/>
  <c r="D301" i="12"/>
  <c r="Q301" i="12" s="1"/>
  <c r="E300" i="12"/>
  <c r="D300" i="12"/>
  <c r="E299" i="12"/>
  <c r="D299" i="12"/>
  <c r="Q299" i="12" s="1"/>
  <c r="E298" i="12"/>
  <c r="D298" i="12"/>
  <c r="E297" i="12"/>
  <c r="D297" i="12"/>
  <c r="E296" i="12"/>
  <c r="D296" i="12"/>
  <c r="E295" i="12"/>
  <c r="D295" i="12"/>
  <c r="E294" i="12"/>
  <c r="D294" i="12"/>
  <c r="Q294" i="12" s="1"/>
  <c r="E293" i="12"/>
  <c r="D293" i="12"/>
  <c r="Q293" i="12" s="1"/>
  <c r="E292" i="12"/>
  <c r="D292" i="12"/>
  <c r="E291" i="12"/>
  <c r="D291" i="12"/>
  <c r="Q291" i="12" s="1"/>
  <c r="E290" i="12"/>
  <c r="D290" i="12"/>
  <c r="Q290" i="12" s="1"/>
  <c r="E289" i="12"/>
  <c r="D289" i="12"/>
  <c r="E288" i="12"/>
  <c r="D288" i="12"/>
  <c r="E287" i="12"/>
  <c r="D287" i="12"/>
  <c r="E286" i="12"/>
  <c r="D286" i="12"/>
  <c r="E285" i="12"/>
  <c r="D285" i="12"/>
  <c r="Q285" i="12" s="1"/>
  <c r="E284" i="12"/>
  <c r="D284" i="12"/>
  <c r="Q284" i="12" s="1"/>
  <c r="E283" i="12"/>
  <c r="D283" i="12"/>
  <c r="Q283" i="12" s="1"/>
  <c r="E282" i="12"/>
  <c r="D282" i="12"/>
  <c r="Q282" i="12" s="1"/>
  <c r="E281" i="12"/>
  <c r="D281" i="12"/>
  <c r="E280" i="12"/>
  <c r="D280" i="12"/>
  <c r="E279" i="12"/>
  <c r="D279" i="12"/>
  <c r="E278" i="12"/>
  <c r="D278" i="12"/>
  <c r="Q278" i="12" s="1"/>
  <c r="E277" i="12"/>
  <c r="D277" i="12"/>
  <c r="Q277" i="12" s="1"/>
  <c r="E276" i="12"/>
  <c r="D276" i="12"/>
  <c r="E275" i="12"/>
  <c r="D275" i="12"/>
  <c r="Q275" i="12" s="1"/>
  <c r="E274" i="12"/>
  <c r="D274" i="12"/>
  <c r="E273" i="12"/>
  <c r="D273" i="12"/>
  <c r="E272" i="12"/>
  <c r="D272" i="12"/>
  <c r="E271" i="12"/>
  <c r="D271" i="12"/>
  <c r="E270" i="12"/>
  <c r="D270" i="12"/>
  <c r="E269" i="12"/>
  <c r="D269" i="12"/>
  <c r="Q269" i="12" s="1"/>
  <c r="E268" i="12"/>
  <c r="D268" i="12"/>
  <c r="E267" i="12"/>
  <c r="D267" i="12"/>
  <c r="Q267" i="12" s="1"/>
  <c r="E266" i="12"/>
  <c r="D266" i="12"/>
  <c r="Q266" i="12" s="1"/>
  <c r="E265" i="12"/>
  <c r="D265" i="12"/>
  <c r="E264" i="12"/>
  <c r="D264" i="12"/>
  <c r="E263" i="12"/>
  <c r="D263" i="12"/>
  <c r="E262" i="12"/>
  <c r="D262" i="12"/>
  <c r="E261" i="12"/>
  <c r="D261" i="12"/>
  <c r="Q261" i="12" s="1"/>
  <c r="E260" i="12"/>
  <c r="D260" i="12"/>
  <c r="E259" i="12"/>
  <c r="D259" i="12"/>
  <c r="Q259" i="12" s="1"/>
  <c r="E258" i="12"/>
  <c r="D258" i="12"/>
  <c r="Q258" i="12" s="1"/>
  <c r="E257" i="12"/>
  <c r="D257" i="12"/>
  <c r="E256" i="12"/>
  <c r="D256" i="12"/>
  <c r="E255" i="12"/>
  <c r="D255" i="12"/>
  <c r="E254" i="12"/>
  <c r="D254" i="12"/>
  <c r="E253" i="12"/>
  <c r="D253" i="12"/>
  <c r="Q253" i="12" s="1"/>
  <c r="E252" i="12"/>
  <c r="D252" i="12"/>
  <c r="Q252" i="12" s="1"/>
  <c r="E251" i="12"/>
  <c r="D251" i="12"/>
  <c r="Q251" i="12" s="1"/>
  <c r="E250" i="12"/>
  <c r="D250" i="12"/>
  <c r="E249" i="12"/>
  <c r="D249" i="12"/>
  <c r="E248" i="12"/>
  <c r="D248" i="12"/>
  <c r="E247" i="12"/>
  <c r="D247" i="12"/>
  <c r="E246" i="12"/>
  <c r="D246" i="12"/>
  <c r="Q246" i="12" s="1"/>
  <c r="E245" i="12"/>
  <c r="D245" i="12"/>
  <c r="Q245" i="12" s="1"/>
  <c r="E244" i="12"/>
  <c r="D244" i="12"/>
  <c r="E243" i="12"/>
  <c r="D243" i="12"/>
  <c r="Q243" i="12" s="1"/>
  <c r="E242" i="12"/>
  <c r="D242" i="12"/>
  <c r="Q242" i="12" s="1"/>
  <c r="E241" i="12"/>
  <c r="D241" i="12"/>
  <c r="E240" i="12"/>
  <c r="D240" i="12"/>
  <c r="E239" i="12"/>
  <c r="D239" i="12"/>
  <c r="E238" i="12"/>
  <c r="D238" i="12"/>
  <c r="E237" i="12"/>
  <c r="D237" i="12"/>
  <c r="Q237" i="12" s="1"/>
  <c r="E236" i="12"/>
  <c r="D236" i="12"/>
  <c r="E235" i="12"/>
  <c r="D235" i="12"/>
  <c r="Q235" i="12" s="1"/>
  <c r="E234" i="12"/>
  <c r="D234" i="12"/>
  <c r="Q234" i="12" s="1"/>
  <c r="E233" i="12"/>
  <c r="D233" i="12"/>
  <c r="E232" i="12"/>
  <c r="D232" i="12"/>
  <c r="E231" i="12"/>
  <c r="D231" i="12"/>
  <c r="E230" i="12"/>
  <c r="D230" i="12"/>
  <c r="E229" i="12"/>
  <c r="D229" i="12"/>
  <c r="Q229" i="12" s="1"/>
  <c r="E228" i="12"/>
  <c r="D228" i="12"/>
  <c r="E227" i="12"/>
  <c r="D227" i="12"/>
  <c r="Q227" i="12" s="1"/>
  <c r="E226" i="12"/>
  <c r="D226" i="12"/>
  <c r="Q226" i="12" s="1"/>
  <c r="E225" i="12"/>
  <c r="D225" i="12"/>
  <c r="E224" i="12"/>
  <c r="D224" i="12"/>
  <c r="E223" i="12"/>
  <c r="D223" i="12"/>
  <c r="E222" i="12"/>
  <c r="D222" i="12"/>
  <c r="E221" i="12"/>
  <c r="D221" i="12"/>
  <c r="Q221" i="12" s="1"/>
  <c r="E220" i="12"/>
  <c r="D220" i="12"/>
  <c r="Q220" i="12" s="1"/>
  <c r="E219" i="12"/>
  <c r="D219" i="12"/>
  <c r="Q219" i="12" s="1"/>
  <c r="E218" i="12"/>
  <c r="D218" i="12"/>
  <c r="Q218" i="12" s="1"/>
  <c r="E217" i="12"/>
  <c r="D217" i="12"/>
  <c r="E216" i="12"/>
  <c r="D216" i="12"/>
  <c r="E215" i="12"/>
  <c r="D215" i="12"/>
  <c r="E214" i="12"/>
  <c r="D214" i="12"/>
  <c r="E213" i="12"/>
  <c r="D213" i="12"/>
  <c r="Q213" i="12" s="1"/>
  <c r="E212" i="12"/>
  <c r="D212" i="12"/>
  <c r="E211" i="12"/>
  <c r="D211" i="12"/>
  <c r="Q211" i="12" s="1"/>
  <c r="E210" i="12"/>
  <c r="D210" i="12"/>
  <c r="Q210" i="12" s="1"/>
  <c r="E209" i="12"/>
  <c r="D209" i="12"/>
  <c r="E208" i="12"/>
  <c r="D208" i="12"/>
  <c r="E207" i="12"/>
  <c r="D207" i="12"/>
  <c r="E206" i="12"/>
  <c r="D206" i="12"/>
  <c r="E205" i="12"/>
  <c r="D205" i="12"/>
  <c r="Q205" i="12" s="1"/>
  <c r="E204" i="12"/>
  <c r="D204" i="12"/>
  <c r="E203" i="12"/>
  <c r="D203" i="12"/>
  <c r="Q203" i="12" s="1"/>
  <c r="E202" i="12"/>
  <c r="D202" i="12"/>
  <c r="Q202" i="12" s="1"/>
  <c r="E201" i="12"/>
  <c r="D201" i="12"/>
  <c r="E200" i="12"/>
  <c r="D200" i="12"/>
  <c r="E199" i="12"/>
  <c r="D199" i="12"/>
  <c r="E198" i="12"/>
  <c r="D198" i="12"/>
  <c r="E197" i="12"/>
  <c r="D197" i="12"/>
  <c r="Q197" i="12" s="1"/>
  <c r="E196" i="12"/>
  <c r="D196" i="12"/>
  <c r="E195" i="12"/>
  <c r="D195" i="12"/>
  <c r="Q195" i="12" s="1"/>
  <c r="E194" i="12"/>
  <c r="D194" i="12"/>
  <c r="E193" i="12"/>
  <c r="D193" i="12"/>
  <c r="E192" i="12"/>
  <c r="D192" i="12"/>
  <c r="E191" i="12"/>
  <c r="D191" i="12"/>
  <c r="E190" i="12"/>
  <c r="D190" i="12"/>
  <c r="Q190" i="12" s="1"/>
  <c r="E189" i="12"/>
  <c r="D189" i="12"/>
  <c r="Q189" i="12" s="1"/>
  <c r="E188" i="12"/>
  <c r="D188" i="12"/>
  <c r="Q188" i="12" s="1"/>
  <c r="E187" i="12"/>
  <c r="D187" i="12"/>
  <c r="Q187" i="12" s="1"/>
  <c r="E186" i="12"/>
  <c r="D186" i="12"/>
  <c r="E185" i="12"/>
  <c r="D185" i="12"/>
  <c r="E184" i="12"/>
  <c r="D184" i="12"/>
  <c r="E183" i="12"/>
  <c r="D183" i="12"/>
  <c r="E182" i="12"/>
  <c r="D182" i="12"/>
  <c r="Q182" i="12" s="1"/>
  <c r="E181" i="12"/>
  <c r="D181" i="12"/>
  <c r="Q181" i="12" s="1"/>
  <c r="E180" i="12"/>
  <c r="D180" i="12"/>
  <c r="E179" i="12"/>
  <c r="D179" i="12"/>
  <c r="Q179" i="12" s="1"/>
  <c r="E178" i="12"/>
  <c r="D178" i="12"/>
  <c r="Q178" i="12" s="1"/>
  <c r="E177" i="12"/>
  <c r="D177" i="12"/>
  <c r="E176" i="12"/>
  <c r="D176" i="12"/>
  <c r="E175" i="12"/>
  <c r="D175" i="12"/>
  <c r="E174" i="12"/>
  <c r="D174" i="12"/>
  <c r="E173" i="12"/>
  <c r="D173" i="12"/>
  <c r="Q173" i="12" s="1"/>
  <c r="E172" i="12"/>
  <c r="D172" i="12"/>
  <c r="Q172" i="12" s="1"/>
  <c r="E171" i="12"/>
  <c r="D171" i="12"/>
  <c r="Q171" i="12" s="1"/>
  <c r="E170" i="12"/>
  <c r="D170" i="12"/>
  <c r="Q170" i="12" s="1"/>
  <c r="E169" i="12"/>
  <c r="D169" i="12"/>
  <c r="E168" i="12"/>
  <c r="D168" i="12"/>
  <c r="E167" i="12"/>
  <c r="D167" i="12"/>
  <c r="E166" i="12"/>
  <c r="D166" i="12"/>
  <c r="E165" i="12"/>
  <c r="D165" i="12"/>
  <c r="Q165" i="12" s="1"/>
  <c r="E164" i="12"/>
  <c r="D164" i="12"/>
  <c r="E163" i="12"/>
  <c r="D163" i="12"/>
  <c r="Q163" i="12" s="1"/>
  <c r="E162" i="12"/>
  <c r="D162" i="12"/>
  <c r="Q162" i="12" s="1"/>
  <c r="E161" i="12"/>
  <c r="D161" i="12"/>
  <c r="E160" i="12"/>
  <c r="D160" i="12"/>
  <c r="E159" i="12"/>
  <c r="D159" i="12"/>
  <c r="E158" i="12"/>
  <c r="D158" i="12"/>
  <c r="E157" i="12"/>
  <c r="D157" i="12"/>
  <c r="Q157" i="12" s="1"/>
  <c r="E156" i="12"/>
  <c r="D156" i="12"/>
  <c r="Q156" i="12" s="1"/>
  <c r="E155" i="12"/>
  <c r="D155" i="12"/>
  <c r="Q155" i="12" s="1"/>
  <c r="E154" i="12"/>
  <c r="D154" i="12"/>
  <c r="E153" i="12"/>
  <c r="D153" i="12"/>
  <c r="E152" i="12"/>
  <c r="D152" i="12"/>
  <c r="E151" i="12"/>
  <c r="D151" i="12"/>
  <c r="E150" i="12"/>
  <c r="D150" i="12"/>
  <c r="E149" i="12"/>
  <c r="D149" i="12"/>
  <c r="Q149" i="12" s="1"/>
  <c r="E148" i="12"/>
  <c r="D148" i="12"/>
  <c r="E147" i="12"/>
  <c r="D147" i="12"/>
  <c r="Q147" i="12" s="1"/>
  <c r="E146" i="12"/>
  <c r="D146" i="12"/>
  <c r="Q146" i="12" s="1"/>
  <c r="E145" i="12"/>
  <c r="D145" i="12"/>
  <c r="E144" i="12"/>
  <c r="D144" i="12"/>
  <c r="E143" i="12"/>
  <c r="D143" i="12"/>
  <c r="E142" i="12"/>
  <c r="D142" i="12"/>
  <c r="E141" i="12"/>
  <c r="D141" i="12"/>
  <c r="Q141" i="12" s="1"/>
  <c r="E140" i="12"/>
  <c r="D140" i="12"/>
  <c r="E139" i="12"/>
  <c r="D139" i="12"/>
  <c r="Q139" i="12" s="1"/>
  <c r="E138" i="12"/>
  <c r="D138" i="12"/>
  <c r="Q138" i="12" s="1"/>
  <c r="E137" i="12"/>
  <c r="D137" i="12"/>
  <c r="E136" i="12"/>
  <c r="D136" i="12"/>
  <c r="E135" i="12"/>
  <c r="D135" i="12"/>
  <c r="E134" i="12"/>
  <c r="D134" i="12"/>
  <c r="Q134" i="12" s="1"/>
  <c r="E133" i="12"/>
  <c r="D133" i="12"/>
  <c r="Q133" i="12" s="1"/>
  <c r="E132" i="12"/>
  <c r="D132" i="12"/>
  <c r="E131" i="12"/>
  <c r="D131" i="12"/>
  <c r="Q131" i="12" s="1"/>
  <c r="E130" i="12"/>
  <c r="D130" i="12"/>
  <c r="E129" i="12"/>
  <c r="D129" i="12"/>
  <c r="E128" i="12"/>
  <c r="D128" i="12"/>
  <c r="E127" i="12"/>
  <c r="D127" i="12"/>
  <c r="E126" i="12"/>
  <c r="D126" i="12"/>
  <c r="Q126" i="12" s="1"/>
  <c r="E125" i="12"/>
  <c r="D125" i="12"/>
  <c r="Q125" i="12" s="1"/>
  <c r="E124" i="12"/>
  <c r="D124" i="12"/>
  <c r="Q124" i="12" s="1"/>
  <c r="E123" i="12"/>
  <c r="D123" i="12"/>
  <c r="Q123" i="12" s="1"/>
  <c r="E122" i="12"/>
  <c r="D122" i="12"/>
  <c r="E121" i="12"/>
  <c r="D121" i="12"/>
  <c r="E120" i="12"/>
  <c r="D120" i="12"/>
  <c r="E119" i="12"/>
  <c r="D119" i="12"/>
  <c r="E118" i="12"/>
  <c r="D118" i="12"/>
  <c r="Q118" i="12" s="1"/>
  <c r="E117" i="12"/>
  <c r="D117" i="12"/>
  <c r="Q117" i="12" s="1"/>
  <c r="E116" i="12"/>
  <c r="D116" i="12"/>
  <c r="E115" i="12"/>
  <c r="D115" i="12"/>
  <c r="Q115" i="12" s="1"/>
  <c r="E114" i="12"/>
  <c r="D114" i="12"/>
  <c r="E113" i="12"/>
  <c r="D113" i="12"/>
  <c r="E112" i="12"/>
  <c r="D112" i="12"/>
  <c r="Q112" i="12" s="1"/>
  <c r="E111" i="12"/>
  <c r="D111" i="12"/>
  <c r="E110" i="12"/>
  <c r="D110" i="12"/>
  <c r="E109" i="12"/>
  <c r="D109" i="12"/>
  <c r="Q109" i="12" s="1"/>
  <c r="E108" i="12"/>
  <c r="D108" i="12"/>
  <c r="E107" i="12"/>
  <c r="D107" i="12"/>
  <c r="Q107" i="12" s="1"/>
  <c r="E106" i="12"/>
  <c r="D106" i="12"/>
  <c r="Q106" i="12" s="1"/>
  <c r="E105" i="12"/>
  <c r="D105" i="12"/>
  <c r="E104" i="12"/>
  <c r="D104" i="12"/>
  <c r="Q104" i="12" s="1"/>
  <c r="E103" i="12"/>
  <c r="D103" i="12"/>
  <c r="E102" i="12"/>
  <c r="D102" i="12"/>
  <c r="E101" i="12"/>
  <c r="D101" i="12"/>
  <c r="Q101" i="12" s="1"/>
  <c r="E100" i="12"/>
  <c r="D100" i="12"/>
  <c r="E99" i="12"/>
  <c r="D99" i="12"/>
  <c r="Q99" i="12" s="1"/>
  <c r="E98" i="12"/>
  <c r="D98" i="12"/>
  <c r="Q98" i="12" s="1"/>
  <c r="E97" i="12"/>
  <c r="D97" i="12"/>
  <c r="E96" i="12"/>
  <c r="D96" i="12"/>
  <c r="Q96" i="12" s="1"/>
  <c r="E95" i="12"/>
  <c r="D95" i="12"/>
  <c r="E94" i="12"/>
  <c r="D94" i="12"/>
  <c r="Q94" i="12" s="1"/>
  <c r="E93" i="12"/>
  <c r="D93" i="12"/>
  <c r="Q93" i="12" s="1"/>
  <c r="E92" i="12"/>
  <c r="D92" i="12"/>
  <c r="E91" i="12"/>
  <c r="D91" i="12"/>
  <c r="Q91" i="12" s="1"/>
  <c r="E90" i="12"/>
  <c r="D90" i="12"/>
  <c r="E89" i="12"/>
  <c r="D89" i="12"/>
  <c r="E88" i="12"/>
  <c r="D88" i="12"/>
  <c r="Q88" i="12" s="1"/>
  <c r="E87" i="12"/>
  <c r="D87" i="12"/>
  <c r="E86" i="12"/>
  <c r="D86" i="12"/>
  <c r="Q86" i="12" s="1"/>
  <c r="E85" i="12"/>
  <c r="D85" i="12"/>
  <c r="Q85" i="12" s="1"/>
  <c r="E84" i="12"/>
  <c r="D84" i="12"/>
  <c r="E83" i="12"/>
  <c r="D83" i="12"/>
  <c r="Q83" i="12" s="1"/>
  <c r="E82" i="12"/>
  <c r="D82" i="12"/>
  <c r="E81" i="12"/>
  <c r="D81" i="12"/>
  <c r="E80" i="12"/>
  <c r="D80" i="12"/>
  <c r="Q80" i="12" s="1"/>
  <c r="E79" i="12"/>
  <c r="D79" i="12"/>
  <c r="E78" i="12"/>
  <c r="D78" i="12"/>
  <c r="Q78" i="12" s="1"/>
  <c r="E77" i="12"/>
  <c r="D77" i="12"/>
  <c r="Q77" i="12" s="1"/>
  <c r="E76" i="12"/>
  <c r="D76" i="12"/>
  <c r="E75" i="12"/>
  <c r="D75" i="12"/>
  <c r="Q75" i="12" s="1"/>
  <c r="E74" i="12"/>
  <c r="D74" i="12"/>
  <c r="E73" i="12"/>
  <c r="D73" i="12"/>
  <c r="E72" i="12"/>
  <c r="D72" i="12"/>
  <c r="Q72" i="12" s="1"/>
  <c r="E71" i="12"/>
  <c r="D71" i="12"/>
  <c r="E70" i="12"/>
  <c r="D70" i="12"/>
  <c r="Q70" i="12" s="1"/>
  <c r="E69" i="12"/>
  <c r="D69" i="12"/>
  <c r="Q69" i="12" s="1"/>
  <c r="E68" i="12"/>
  <c r="D68" i="12"/>
  <c r="E67" i="12"/>
  <c r="D67" i="12"/>
  <c r="Q67" i="12" s="1"/>
  <c r="E66" i="12"/>
  <c r="D66" i="12"/>
  <c r="E65" i="12"/>
  <c r="D65" i="12"/>
  <c r="E64" i="12"/>
  <c r="D64" i="12"/>
  <c r="Q64" i="12" s="1"/>
  <c r="E63" i="12"/>
  <c r="D63" i="12"/>
  <c r="E62" i="12"/>
  <c r="D62" i="12"/>
  <c r="Q62" i="12" s="1"/>
  <c r="E61" i="12"/>
  <c r="D61" i="12"/>
  <c r="Q61" i="12" s="1"/>
  <c r="E60" i="12"/>
  <c r="D60" i="12"/>
  <c r="E59" i="12"/>
  <c r="D59" i="12"/>
  <c r="Q59" i="12" s="1"/>
  <c r="E58" i="12"/>
  <c r="D58" i="12"/>
  <c r="E57" i="12"/>
  <c r="D57" i="12"/>
  <c r="E56" i="12"/>
  <c r="D56" i="12"/>
  <c r="Q56" i="12" s="1"/>
  <c r="E55" i="12"/>
  <c r="D55" i="12"/>
  <c r="E54" i="12"/>
  <c r="D54" i="12"/>
  <c r="Q54" i="12" s="1"/>
  <c r="E53" i="12"/>
  <c r="D53" i="12"/>
  <c r="Q53" i="12" s="1"/>
  <c r="E52" i="12"/>
  <c r="D52" i="12"/>
  <c r="E51" i="12"/>
  <c r="D51" i="12"/>
  <c r="Q51" i="12" s="1"/>
  <c r="E50" i="12"/>
  <c r="D50" i="12"/>
  <c r="E49" i="12"/>
  <c r="D49" i="12"/>
  <c r="E48" i="12"/>
  <c r="D48" i="12"/>
  <c r="Q48" i="12" s="1"/>
  <c r="E47" i="12"/>
  <c r="D47" i="12"/>
  <c r="E46" i="12"/>
  <c r="D46" i="12"/>
  <c r="Q46" i="12" s="1"/>
  <c r="E45" i="12"/>
  <c r="D45" i="12"/>
  <c r="Q45" i="12" s="1"/>
  <c r="E44" i="12"/>
  <c r="D44" i="12"/>
  <c r="E43" i="12"/>
  <c r="D43" i="12"/>
  <c r="Q43" i="12" s="1"/>
  <c r="E42" i="12"/>
  <c r="D42" i="12"/>
  <c r="E41" i="12"/>
  <c r="D41" i="12"/>
  <c r="E40" i="12"/>
  <c r="D40" i="12"/>
  <c r="Q40" i="12" s="1"/>
  <c r="E39" i="12"/>
  <c r="D39" i="12"/>
  <c r="E38" i="12"/>
  <c r="D38" i="12"/>
  <c r="E37" i="12"/>
  <c r="D37" i="12"/>
  <c r="Q37" i="12" s="1"/>
  <c r="E36" i="12"/>
  <c r="D36" i="12"/>
  <c r="E35" i="12"/>
  <c r="D35" i="12"/>
  <c r="Q35" i="12" s="1"/>
  <c r="E34" i="12"/>
  <c r="D34" i="12"/>
  <c r="Q34" i="12" s="1"/>
  <c r="E33" i="12"/>
  <c r="D33" i="12"/>
  <c r="E32" i="12"/>
  <c r="D32" i="12"/>
  <c r="Q32" i="12" s="1"/>
  <c r="E31" i="12"/>
  <c r="D31" i="12"/>
  <c r="E30" i="12"/>
  <c r="D30" i="12"/>
  <c r="Q30" i="12" s="1"/>
  <c r="E29" i="12"/>
  <c r="D29" i="12"/>
  <c r="E28" i="12"/>
  <c r="D28" i="12"/>
  <c r="E27" i="12"/>
  <c r="D27" i="12"/>
  <c r="E26" i="12"/>
  <c r="D26" i="12"/>
  <c r="E25" i="12"/>
  <c r="D25" i="12"/>
  <c r="Q25" i="12" s="1"/>
  <c r="E24" i="12"/>
  <c r="D24" i="12"/>
  <c r="Q24" i="12" s="1"/>
  <c r="E23" i="12"/>
  <c r="D23" i="12"/>
  <c r="E22" i="12"/>
  <c r="D22" i="12"/>
  <c r="Q22" i="12" s="1"/>
  <c r="E21" i="12"/>
  <c r="D21" i="12"/>
  <c r="E20" i="12"/>
  <c r="D20" i="12"/>
  <c r="E19" i="12"/>
  <c r="D19" i="12"/>
  <c r="E18" i="12"/>
  <c r="D18" i="12"/>
  <c r="E17" i="12"/>
  <c r="D17" i="12"/>
  <c r="Q17" i="12" s="1"/>
  <c r="E16" i="12"/>
  <c r="D16" i="12"/>
  <c r="Q16" i="12" s="1"/>
  <c r="E15" i="12"/>
  <c r="D15" i="12"/>
  <c r="Q15" i="12" s="1"/>
  <c r="C4" i="12"/>
  <c r="L5" i="12"/>
  <c r="DG9" i="5"/>
  <c r="DF9" i="5"/>
  <c r="DF10" i="5"/>
  <c r="DE9" i="5"/>
  <c r="DD9" i="5"/>
  <c r="DD10" i="5"/>
  <c r="DC9" i="5"/>
  <c r="DC10" i="5"/>
  <c r="DB9" i="5"/>
  <c r="DA9" i="5"/>
  <c r="CZ9" i="5"/>
  <c r="CZ10" i="5"/>
  <c r="CY9" i="5"/>
  <c r="CY10" i="5"/>
  <c r="CX9" i="5"/>
  <c r="CX10" i="5"/>
  <c r="CW9" i="5"/>
  <c r="CV9" i="5"/>
  <c r="CV10" i="5"/>
  <c r="CU9" i="5"/>
  <c r="CU10" i="5"/>
  <c r="CT9" i="5"/>
  <c r="CT10" i="5"/>
  <c r="CS9" i="5"/>
  <c r="CR9" i="5"/>
  <c r="CR10" i="5"/>
  <c r="CQ9" i="5"/>
  <c r="CQ10" i="5"/>
  <c r="CP9" i="5"/>
  <c r="CP10" i="5"/>
  <c r="CO9" i="5"/>
  <c r="CN9" i="5"/>
  <c r="CN10" i="5"/>
  <c r="CM9" i="5"/>
  <c r="CM10" i="5"/>
  <c r="CL9" i="5"/>
  <c r="CK9" i="5"/>
  <c r="CJ9" i="5"/>
  <c r="CJ10" i="5"/>
  <c r="CI9" i="5"/>
  <c r="CH9" i="5"/>
  <c r="CH10" i="5"/>
  <c r="CG9" i="5"/>
  <c r="CF9" i="5"/>
  <c r="H204" i="5"/>
  <c r="CF10" i="5"/>
  <c r="CE9" i="5"/>
  <c r="CE10" i="5"/>
  <c r="CD9" i="5"/>
  <c r="CC9" i="5"/>
  <c r="CB9" i="5"/>
  <c r="CB10" i="5"/>
  <c r="CA9" i="5"/>
  <c r="CA10" i="5"/>
  <c r="BZ9" i="5"/>
  <c r="BY9" i="5"/>
  <c r="BX9" i="5"/>
  <c r="BW9" i="5"/>
  <c r="BV9" i="5"/>
  <c r="BU9" i="5"/>
  <c r="BT9" i="5"/>
  <c r="BT10" i="5"/>
  <c r="BS9" i="5"/>
  <c r="BS10" i="5"/>
  <c r="BR9" i="5"/>
  <c r="BR10" i="5"/>
  <c r="BQ9" i="5"/>
  <c r="BP9" i="5"/>
  <c r="BP10" i="5"/>
  <c r="BO9" i="5"/>
  <c r="BO10" i="5"/>
  <c r="BN9" i="5"/>
  <c r="BN10" i="5"/>
  <c r="BM9" i="5"/>
  <c r="BL9" i="5"/>
  <c r="BL10" i="5"/>
  <c r="BK9" i="5"/>
  <c r="BK10" i="5"/>
  <c r="BJ9" i="5"/>
  <c r="BJ10" i="5"/>
  <c r="BI9" i="5"/>
  <c r="BH9" i="5"/>
  <c r="BH10" i="5"/>
  <c r="BG9" i="5"/>
  <c r="BG10" i="5"/>
  <c r="BF9" i="5"/>
  <c r="BF10" i="5"/>
  <c r="BE9" i="5"/>
  <c r="BD9" i="5"/>
  <c r="BD10" i="5"/>
  <c r="BC9" i="5"/>
  <c r="BC10" i="5"/>
  <c r="BA9" i="5"/>
  <c r="BA10" i="5"/>
  <c r="AZ9" i="5"/>
  <c r="AY9" i="5"/>
  <c r="AY10" i="5"/>
  <c r="BB9" i="5"/>
  <c r="AX9" i="5"/>
  <c r="AW9" i="5"/>
  <c r="AV9" i="5"/>
  <c r="AU9" i="5"/>
  <c r="AT9" i="5"/>
  <c r="AT10" i="5"/>
  <c r="AS9" i="5"/>
  <c r="AS10" i="5"/>
  <c r="AR9" i="5"/>
  <c r="AQ9" i="5"/>
  <c r="AP9" i="5"/>
  <c r="AP10" i="5"/>
  <c r="AO9" i="5"/>
  <c r="AO10" i="5"/>
  <c r="AN9" i="5"/>
  <c r="AM9" i="5"/>
  <c r="AL9" i="5"/>
  <c r="AL10" i="5"/>
  <c r="AK9" i="5"/>
  <c r="AK10" i="5"/>
  <c r="AJ9" i="5"/>
  <c r="AJ10" i="5"/>
  <c r="AI9" i="5"/>
  <c r="AH9" i="5"/>
  <c r="AH10" i="5"/>
  <c r="AG9" i="5"/>
  <c r="AF9" i="5"/>
  <c r="AE9" i="5"/>
  <c r="AD9" i="5"/>
  <c r="AD10" i="5"/>
  <c r="AC9" i="5"/>
  <c r="AC10" i="5"/>
  <c r="AB9" i="5"/>
  <c r="AA9" i="5"/>
  <c r="Z9" i="5"/>
  <c r="Y9" i="5"/>
  <c r="Y10" i="5"/>
  <c r="X9" i="5"/>
  <c r="X10" i="5"/>
  <c r="W9" i="5"/>
  <c r="V9" i="5"/>
  <c r="V10" i="5"/>
  <c r="U9" i="5"/>
  <c r="U10" i="5"/>
  <c r="T9" i="5"/>
  <c r="T10" i="5"/>
  <c r="S9" i="5"/>
  <c r="R9" i="5"/>
  <c r="R10" i="5"/>
  <c r="Q9" i="5"/>
  <c r="Q10" i="5"/>
  <c r="P9" i="5"/>
  <c r="P10" i="5"/>
  <c r="O9" i="5"/>
  <c r="N9" i="5"/>
  <c r="N10" i="5"/>
  <c r="M9" i="5"/>
  <c r="M10" i="5"/>
  <c r="L9" i="5"/>
  <c r="L10" i="5"/>
  <c r="K9" i="5"/>
  <c r="J9" i="5"/>
  <c r="J10" i="5"/>
  <c r="I9" i="5"/>
  <c r="I10" i="5"/>
  <c r="H9" i="5"/>
  <c r="G9" i="5"/>
  <c r="F9" i="5"/>
  <c r="E9" i="5"/>
  <c r="E10" i="5"/>
  <c r="D9" i="5"/>
  <c r="D10" i="5"/>
  <c r="C9" i="5"/>
  <c r="FI6" i="5"/>
  <c r="FI7" i="5"/>
  <c r="FH6" i="5"/>
  <c r="FH7" i="5"/>
  <c r="FG6" i="5"/>
  <c r="FG7" i="5"/>
  <c r="FF6" i="5"/>
  <c r="FE6" i="5"/>
  <c r="FE7" i="5"/>
  <c r="FD6" i="5"/>
  <c r="FD7" i="5"/>
  <c r="FC6" i="5"/>
  <c r="FC7" i="5"/>
  <c r="FB6" i="5"/>
  <c r="FA6" i="5"/>
  <c r="FA7" i="5"/>
  <c r="EZ6" i="5"/>
  <c r="EZ7" i="5"/>
  <c r="EY6" i="5"/>
  <c r="EY7" i="5"/>
  <c r="EX6" i="5"/>
  <c r="EW6" i="5"/>
  <c r="EV6" i="5"/>
  <c r="EU6" i="5"/>
  <c r="ET6" i="5"/>
  <c r="ES6" i="5"/>
  <c r="ES7" i="5"/>
  <c r="ER6" i="5"/>
  <c r="ER7" i="5"/>
  <c r="EQ6" i="5"/>
  <c r="EQ7" i="5"/>
  <c r="EP6" i="5"/>
  <c r="EO6" i="5"/>
  <c r="EN6" i="5"/>
  <c r="EN7" i="5"/>
  <c r="EM6" i="5"/>
  <c r="EL6" i="5"/>
  <c r="EK6" i="5"/>
  <c r="EJ6" i="5"/>
  <c r="EJ7" i="5"/>
  <c r="EI6" i="5"/>
  <c r="EH6" i="5"/>
  <c r="EG6" i="5"/>
  <c r="EF6" i="5"/>
  <c r="EF7" i="5"/>
  <c r="EE6" i="5"/>
  <c r="ED6" i="5"/>
  <c r="EC6" i="5"/>
  <c r="EC7" i="5"/>
  <c r="EB6" i="5"/>
  <c r="EB7" i="5"/>
  <c r="EA6" i="5"/>
  <c r="EA7" i="5"/>
  <c r="DZ6" i="5"/>
  <c r="DY6" i="5"/>
  <c r="DY7" i="5"/>
  <c r="DX6" i="5"/>
  <c r="DX7" i="5"/>
  <c r="DW6" i="5"/>
  <c r="DW7" i="5"/>
  <c r="DV6" i="5"/>
  <c r="DU6" i="5"/>
  <c r="DU7" i="5"/>
  <c r="DT6" i="5"/>
  <c r="DT7" i="5"/>
  <c r="DS6" i="5"/>
  <c r="DS7" i="5"/>
  <c r="DR6" i="5"/>
  <c r="DQ6" i="5"/>
  <c r="DQ7" i="5"/>
  <c r="DP6" i="5"/>
  <c r="DP7" i="5"/>
  <c r="DO6" i="5"/>
  <c r="DO7" i="5"/>
  <c r="DN6" i="5"/>
  <c r="DM6" i="5"/>
  <c r="DM7" i="5"/>
  <c r="DL6" i="5"/>
  <c r="DL7" i="5"/>
  <c r="DK6" i="5"/>
  <c r="DJ6" i="5"/>
  <c r="DI6" i="5"/>
  <c r="DI7" i="5"/>
  <c r="DH6" i="5"/>
  <c r="DH7" i="5"/>
  <c r="DG6" i="5"/>
  <c r="DG7" i="5"/>
  <c r="DF6" i="5"/>
  <c r="DE6" i="5"/>
  <c r="DE7" i="5"/>
  <c r="DD6" i="5"/>
  <c r="DD7" i="5"/>
  <c r="DC6" i="5"/>
  <c r="DB6" i="5"/>
  <c r="DA6" i="5"/>
  <c r="DA7" i="5"/>
  <c r="CZ6" i="5"/>
  <c r="CZ7" i="5"/>
  <c r="CY6" i="5"/>
  <c r="CY7" i="5"/>
  <c r="CX6" i="5"/>
  <c r="CW6" i="5"/>
  <c r="CW7" i="5"/>
  <c r="CV6" i="5"/>
  <c r="CV7" i="5"/>
  <c r="CU6" i="5"/>
  <c r="CU7" i="5"/>
  <c r="CT6" i="5"/>
  <c r="CS6" i="5"/>
  <c r="CS7" i="5"/>
  <c r="CR6" i="5"/>
  <c r="CR7" i="5"/>
  <c r="CQ6" i="5"/>
  <c r="CQ7" i="5"/>
  <c r="CP6" i="5"/>
  <c r="CO6" i="5"/>
  <c r="CO7" i="5"/>
  <c r="CN6" i="5"/>
  <c r="CN7" i="5"/>
  <c r="CM6" i="5"/>
  <c r="CM7" i="5"/>
  <c r="CL6" i="5"/>
  <c r="CK6" i="5"/>
  <c r="CK7" i="5"/>
  <c r="CJ6" i="5"/>
  <c r="CJ7" i="5"/>
  <c r="CI6" i="5"/>
  <c r="CI7" i="5"/>
  <c r="CH6" i="5"/>
  <c r="CG6" i="5"/>
  <c r="CG7" i="5"/>
  <c r="CF6" i="5"/>
  <c r="CF7" i="5"/>
  <c r="CE6" i="5"/>
  <c r="CE7" i="5"/>
  <c r="CD6" i="5"/>
  <c r="CC6" i="5"/>
  <c r="CC7" i="5"/>
  <c r="CB6" i="5"/>
  <c r="CB7" i="5"/>
  <c r="CA6" i="5"/>
  <c r="BZ6" i="5"/>
  <c r="BY6" i="5"/>
  <c r="BY7" i="5"/>
  <c r="BX6" i="5"/>
  <c r="BX7" i="5"/>
  <c r="BW6" i="5"/>
  <c r="BW7" i="5"/>
  <c r="BV6" i="5"/>
  <c r="BU6" i="5"/>
  <c r="BU7" i="5"/>
  <c r="BT6" i="5"/>
  <c r="BT7" i="5"/>
  <c r="BS6" i="5"/>
  <c r="BS7" i="5"/>
  <c r="BR6" i="5"/>
  <c r="BQ6" i="5"/>
  <c r="BQ7" i="5"/>
  <c r="BP6" i="5"/>
  <c r="BP7" i="5"/>
  <c r="BO6" i="5"/>
  <c r="BN6" i="5"/>
  <c r="BM6" i="5"/>
  <c r="BM7" i="5"/>
  <c r="BL6" i="5"/>
  <c r="BL7" i="5"/>
  <c r="BK6" i="5"/>
  <c r="BK7" i="5"/>
  <c r="BJ6" i="5"/>
  <c r="BI6" i="5"/>
  <c r="BH6" i="5"/>
  <c r="BH7" i="5"/>
  <c r="BG6" i="5"/>
  <c r="BG7" i="5"/>
  <c r="BF6" i="5"/>
  <c r="BE6" i="5"/>
  <c r="BE7" i="5"/>
  <c r="BD6" i="5"/>
  <c r="BD7" i="5"/>
  <c r="BC6" i="5"/>
  <c r="BC7" i="5"/>
  <c r="BB6" i="5"/>
  <c r="BA6" i="5"/>
  <c r="BA7" i="5"/>
  <c r="AZ6" i="5"/>
  <c r="AZ7" i="5"/>
  <c r="AY6" i="5"/>
  <c r="AY7" i="5"/>
  <c r="AX6" i="5"/>
  <c r="AW6" i="5"/>
  <c r="AW7" i="5"/>
  <c r="AV6" i="5"/>
  <c r="AV7" i="5"/>
  <c r="AU6" i="5"/>
  <c r="AT6" i="5"/>
  <c r="AS6" i="5"/>
  <c r="AR6" i="5"/>
  <c r="AQ6" i="5"/>
  <c r="AQ7" i="5"/>
  <c r="AP6" i="5"/>
  <c r="AO6" i="5"/>
  <c r="AN6" i="5"/>
  <c r="AN7" i="5"/>
  <c r="AM6" i="5"/>
  <c r="AL6" i="5"/>
  <c r="AK6" i="5"/>
  <c r="AK7" i="5"/>
  <c r="AJ6" i="5"/>
  <c r="AJ7" i="5"/>
  <c r="AI6" i="5"/>
  <c r="AH6" i="5"/>
  <c r="AG6" i="5"/>
  <c r="AG7" i="5"/>
  <c r="AF6" i="5"/>
  <c r="AF7" i="5"/>
  <c r="AE6" i="5"/>
  <c r="AE7" i="5"/>
  <c r="AD6" i="5"/>
  <c r="AC6" i="5"/>
  <c r="AB6" i="5"/>
  <c r="AA6" i="5"/>
  <c r="Z6" i="5"/>
  <c r="Y6" i="5"/>
  <c r="X6" i="5"/>
  <c r="W6" i="5"/>
  <c r="V6" i="5"/>
  <c r="U6" i="5"/>
  <c r="U7" i="5"/>
  <c r="T6" i="5"/>
  <c r="T7" i="5"/>
  <c r="S6" i="5"/>
  <c r="R6" i="5"/>
  <c r="Q6" i="5"/>
  <c r="Q7" i="5"/>
  <c r="P6" i="5"/>
  <c r="P7" i="5"/>
  <c r="O6" i="5"/>
  <c r="O7" i="5"/>
  <c r="N6" i="5"/>
  <c r="M6" i="5"/>
  <c r="M7" i="5"/>
  <c r="L6" i="5"/>
  <c r="L7" i="5"/>
  <c r="K6" i="5"/>
  <c r="K7" i="5"/>
  <c r="J6" i="5"/>
  <c r="I6" i="5"/>
  <c r="I7" i="5"/>
  <c r="H6" i="5"/>
  <c r="H7" i="5"/>
  <c r="G6" i="5"/>
  <c r="F6" i="5"/>
  <c r="E6" i="5"/>
  <c r="E7" i="5"/>
  <c r="D6" i="5"/>
  <c r="D7" i="5"/>
  <c r="C6" i="5"/>
  <c r="C7" i="5"/>
  <c r="DE10" i="5"/>
  <c r="DB10" i="5"/>
  <c r="DA10" i="5"/>
  <c r="CW10" i="5"/>
  <c r="CS10" i="5"/>
  <c r="CO10" i="5"/>
  <c r="CK10" i="5"/>
  <c r="CG10" i="5"/>
  <c r="CD10" i="5"/>
  <c r="BY10" i="5"/>
  <c r="BX10" i="5"/>
  <c r="BV10" i="5"/>
  <c r="BU10" i="5"/>
  <c r="BQ10" i="5"/>
  <c r="BM10" i="5"/>
  <c r="BI10" i="5"/>
  <c r="BE10" i="5"/>
  <c r="AX10" i="5"/>
  <c r="AV10" i="5"/>
  <c r="AN10" i="5"/>
  <c r="AM10" i="5"/>
  <c r="AI10" i="5"/>
  <c r="AG10" i="5"/>
  <c r="AF10" i="5"/>
  <c r="AE10" i="5"/>
  <c r="W10" i="5"/>
  <c r="O10" i="5"/>
  <c r="C10" i="5"/>
  <c r="FF7" i="5"/>
  <c r="FB7" i="5"/>
  <c r="EX7" i="5"/>
  <c r="EV7" i="5"/>
  <c r="EP7" i="5"/>
  <c r="EL7" i="5"/>
  <c r="EK7" i="5"/>
  <c r="DB7" i="5"/>
  <c r="CT7" i="5"/>
  <c r="CD7" i="5"/>
  <c r="BV7" i="5"/>
  <c r="BR7" i="5"/>
  <c r="BO7" i="5"/>
  <c r="BN7" i="5"/>
  <c r="BJ7" i="5"/>
  <c r="BF7" i="5"/>
  <c r="AM7" i="5"/>
  <c r="AH7" i="5"/>
  <c r="AC7" i="5"/>
  <c r="S7" i="5"/>
  <c r="N7" i="5"/>
  <c r="J7" i="5"/>
  <c r="G7" i="5"/>
  <c r="F7" i="5"/>
  <c r="J30" i="5"/>
  <c r="DR7" i="5"/>
  <c r="DJ7" i="5"/>
  <c r="R7" i="5"/>
  <c r="CH7" i="5"/>
  <c r="CX7" i="5"/>
  <c r="DF7" i="5"/>
  <c r="BZ7" i="5"/>
  <c r="DV7" i="5"/>
  <c r="V7" i="5"/>
  <c r="DN7" i="5"/>
  <c r="K10" i="5"/>
  <c r="CL7" i="5"/>
  <c r="F227" i="5"/>
  <c r="DZ7" i="5"/>
  <c r="AL7" i="5"/>
  <c r="CA7" i="5"/>
  <c r="CP7" i="5"/>
  <c r="I28" i="6"/>
  <c r="AO7" i="5"/>
  <c r="ED7" i="5"/>
  <c r="I109" i="6"/>
  <c r="I136" i="6"/>
  <c r="I127" i="6"/>
  <c r="I128" i="6"/>
  <c r="I110" i="6"/>
  <c r="U187" i="5"/>
  <c r="L416" i="7"/>
  <c r="FI5" i="5"/>
  <c r="FI4" i="5"/>
  <c r="FG5" i="5"/>
  <c r="FG4" i="5"/>
  <c r="FE5" i="5"/>
  <c r="FE4" i="5" s="1"/>
  <c r="FC5" i="5"/>
  <c r="FC4" i="5"/>
  <c r="FA5" i="5"/>
  <c r="FA4" i="5"/>
  <c r="EY5" i="5"/>
  <c r="EY4" i="5"/>
  <c r="EW5" i="5"/>
  <c r="EW4" i="5"/>
  <c r="EV5" i="5"/>
  <c r="EU5" i="5"/>
  <c r="EU4" i="5"/>
  <c r="ET5" i="5"/>
  <c r="ES5" i="5"/>
  <c r="ES4" i="5"/>
  <c r="ER5" i="5"/>
  <c r="ER4" i="5"/>
  <c r="EQ5" i="5"/>
  <c r="EQ4" i="5"/>
  <c r="EP5" i="5"/>
  <c r="EN5" i="5"/>
  <c r="EM5" i="5"/>
  <c r="EM4" i="5"/>
  <c r="EL5" i="5"/>
  <c r="EL4" i="5"/>
  <c r="EK5" i="5"/>
  <c r="EK4" i="5"/>
  <c r="EJ5" i="5"/>
  <c r="EJ4" i="5"/>
  <c r="BM5" i="5"/>
  <c r="BM4" i="5"/>
  <c r="BF5" i="5"/>
  <c r="BF4" i="5"/>
  <c r="BE5" i="5"/>
  <c r="BE4" i="5"/>
  <c r="BC5" i="5"/>
  <c r="BC4" i="5"/>
  <c r="BA5" i="5"/>
  <c r="BA4" i="5"/>
  <c r="AX5" i="5"/>
  <c r="AX4" i="5"/>
  <c r="AV5" i="5"/>
  <c r="AV4" i="5"/>
  <c r="AT5" i="5"/>
  <c r="AR5" i="5"/>
  <c r="AP5" i="5"/>
  <c r="AP4" i="5"/>
  <c r="AN5" i="5"/>
  <c r="AK5" i="5"/>
  <c r="AI5" i="5"/>
  <c r="AI4" i="5"/>
  <c r="AF5" i="5"/>
  <c r="AF4" i="5"/>
  <c r="AD5" i="5"/>
  <c r="AD4" i="5"/>
  <c r="Z5" i="5"/>
  <c r="Z4" i="5"/>
  <c r="A9" i="5"/>
  <c r="AU7" i="5"/>
  <c r="J162" i="5"/>
  <c r="DG10" i="5"/>
  <c r="BB7" i="5"/>
  <c r="BJ5" i="5"/>
  <c r="BJ4" i="5"/>
  <c r="R161" i="5"/>
  <c r="R63" i="6"/>
  <c r="Q63" i="6"/>
  <c r="S62" i="6"/>
  <c r="Q62" i="6"/>
  <c r="M147" i="6"/>
  <c r="M148" i="6"/>
  <c r="M149" i="6"/>
  <c r="M150" i="6"/>
  <c r="M151" i="6"/>
  <c r="M152" i="6"/>
  <c r="M153" i="6"/>
  <c r="M154" i="6"/>
  <c r="M155" i="6"/>
  <c r="M156" i="6"/>
  <c r="M157" i="6"/>
  <c r="M158" i="6"/>
  <c r="M159" i="6"/>
  <c r="M160" i="6"/>
  <c r="R12" i="6"/>
  <c r="Q12" i="6"/>
  <c r="G28" i="6"/>
  <c r="S12" i="6" s="1"/>
  <c r="A27" i="6"/>
  <c r="DC7" i="5"/>
  <c r="U4" i="6"/>
  <c r="U3" i="6"/>
  <c r="K4" i="6"/>
  <c r="K3" i="6"/>
  <c r="A3" i="6"/>
  <c r="A4" i="6"/>
  <c r="E89" i="6"/>
  <c r="E41" i="6"/>
  <c r="E10" i="6"/>
  <c r="J200" i="5"/>
  <c r="F200" i="5"/>
  <c r="R66" i="2"/>
  <c r="R67" i="2"/>
  <c r="R68" i="2"/>
  <c r="R69" i="2"/>
  <c r="R70" i="2"/>
  <c r="R71" i="2"/>
  <c r="R72" i="2" s="1"/>
  <c r="R65" i="2"/>
  <c r="O66" i="2" s="1"/>
  <c r="R64" i="2"/>
  <c r="C74" i="11"/>
  <c r="C71" i="11"/>
  <c r="C61" i="11"/>
  <c r="C52" i="11"/>
  <c r="C40" i="11"/>
  <c r="C22" i="11"/>
  <c r="C34" i="11"/>
  <c r="C29" i="11"/>
  <c r="I135" i="6"/>
  <c r="I134" i="6"/>
  <c r="I133" i="6"/>
  <c r="I132" i="6"/>
  <c r="I131" i="6"/>
  <c r="I130" i="6"/>
  <c r="I129" i="6"/>
  <c r="I123" i="6"/>
  <c r="I122" i="6"/>
  <c r="I114" i="6"/>
  <c r="I113" i="6"/>
  <c r="I112" i="6"/>
  <c r="I111" i="6"/>
  <c r="DK7" i="5"/>
  <c r="U244" i="5"/>
  <c r="E45" i="11"/>
  <c r="T142" i="5"/>
  <c r="U25" i="5"/>
  <c r="T165" i="5"/>
  <c r="T164" i="5"/>
  <c r="T163" i="5"/>
  <c r="T161" i="5"/>
  <c r="T160" i="5"/>
  <c r="T154" i="5"/>
  <c r="T152" i="5"/>
  <c r="T151" i="5"/>
  <c r="T150" i="5"/>
  <c r="T149" i="5"/>
  <c r="T148" i="5"/>
  <c r="T147" i="5"/>
  <c r="T146" i="5"/>
  <c r="T145" i="5"/>
  <c r="T144" i="5"/>
  <c r="E47" i="11"/>
  <c r="U206" i="5"/>
  <c r="U205" i="5"/>
  <c r="U204" i="5"/>
  <c r="U203" i="5"/>
  <c r="U202" i="5"/>
  <c r="U201" i="5"/>
  <c r="T206" i="5"/>
  <c r="T205" i="5"/>
  <c r="T204" i="5"/>
  <c r="T203" i="5"/>
  <c r="T202" i="5"/>
  <c r="T201" i="5"/>
  <c r="U28" i="5"/>
  <c r="U29" i="5"/>
  <c r="P73" i="2"/>
  <c r="P72" i="2"/>
  <c r="V13" i="8"/>
  <c r="U13" i="8"/>
  <c r="J29" i="5"/>
  <c r="H126" i="8"/>
  <c r="V12" i="8"/>
  <c r="U12" i="8"/>
  <c r="T12" i="8"/>
  <c r="F66" i="11"/>
  <c r="U11" i="8"/>
  <c r="T10" i="8"/>
  <c r="F64" i="11" s="1"/>
  <c r="V9" i="8"/>
  <c r="U9" i="8" s="1"/>
  <c r="T9" i="8" s="1"/>
  <c r="F63" i="11" s="1"/>
  <c r="V8" i="8"/>
  <c r="U8" i="8" s="1"/>
  <c r="T8" i="8" s="1"/>
  <c r="F62" i="11" s="1"/>
  <c r="G136" i="6"/>
  <c r="G135" i="6"/>
  <c r="G134" i="6"/>
  <c r="G133" i="6"/>
  <c r="G132" i="6"/>
  <c r="G131" i="6"/>
  <c r="G130" i="6"/>
  <c r="G129" i="6"/>
  <c r="G128" i="6"/>
  <c r="G127" i="6"/>
  <c r="F137" i="6"/>
  <c r="G122" i="6"/>
  <c r="G123" i="6"/>
  <c r="G114" i="6"/>
  <c r="G113" i="6"/>
  <c r="G112" i="6"/>
  <c r="G111" i="6"/>
  <c r="G110" i="6"/>
  <c r="G109" i="6"/>
  <c r="F115" i="6"/>
  <c r="E137" i="6"/>
  <c r="E115" i="6"/>
  <c r="U182" i="5"/>
  <c r="U193" i="5"/>
  <c r="U197" i="5"/>
  <c r="D195" i="5"/>
  <c r="ET7" i="5"/>
  <c r="AA13" i="6"/>
  <c r="Y13" i="6"/>
  <c r="G137" i="6"/>
  <c r="Z160" i="5"/>
  <c r="Z149" i="5"/>
  <c r="Z147" i="5"/>
  <c r="Z145" i="5"/>
  <c r="Z144" i="5"/>
  <c r="F18" i="6"/>
  <c r="F20" i="6"/>
  <c r="F12" i="6"/>
  <c r="G12" i="6"/>
  <c r="J156" i="5"/>
  <c r="F99" i="5"/>
  <c r="EE7" i="5"/>
  <c r="V14" i="8"/>
  <c r="X147" i="5"/>
  <c r="V145" i="5"/>
  <c r="V146" i="5"/>
  <c r="V147" i="5"/>
  <c r="V148" i="5"/>
  <c r="V149" i="5"/>
  <c r="V150" i="5"/>
  <c r="V151" i="5"/>
  <c r="V152" i="5"/>
  <c r="V153" i="5"/>
  <c r="V154" i="5"/>
  <c r="V155" i="5"/>
  <c r="V156" i="5"/>
  <c r="V157" i="5"/>
  <c r="V158" i="5"/>
  <c r="V144" i="5"/>
  <c r="AC143" i="5"/>
  <c r="X146" i="5"/>
  <c r="AC146" i="5"/>
  <c r="X144" i="5"/>
  <c r="AZ10" i="5"/>
  <c r="AD7" i="5"/>
  <c r="Q21" i="6"/>
  <c r="N414" i="7"/>
  <c r="M414" i="7"/>
  <c r="N413" i="7"/>
  <c r="M413" i="7"/>
  <c r="N412" i="7"/>
  <c r="M412" i="7"/>
  <c r="N411" i="7"/>
  <c r="M411" i="7"/>
  <c r="N410" i="7"/>
  <c r="M410" i="7"/>
  <c r="N409" i="7"/>
  <c r="M409" i="7"/>
  <c r="N408" i="7"/>
  <c r="M408" i="7"/>
  <c r="N407" i="7"/>
  <c r="M407" i="7"/>
  <c r="N406" i="7"/>
  <c r="M406" i="7"/>
  <c r="N405" i="7"/>
  <c r="M405" i="7"/>
  <c r="N404" i="7"/>
  <c r="M404" i="7"/>
  <c r="N403" i="7"/>
  <c r="M403" i="7"/>
  <c r="N402" i="7"/>
  <c r="M402" i="7"/>
  <c r="N401" i="7"/>
  <c r="M401" i="7"/>
  <c r="N400" i="7"/>
  <c r="M400" i="7"/>
  <c r="N399" i="7"/>
  <c r="M399" i="7"/>
  <c r="N398" i="7"/>
  <c r="M398" i="7"/>
  <c r="N397" i="7"/>
  <c r="M397" i="7"/>
  <c r="N396" i="7"/>
  <c r="M396" i="7"/>
  <c r="N395" i="7"/>
  <c r="M395" i="7"/>
  <c r="N394" i="7"/>
  <c r="M394" i="7"/>
  <c r="N393" i="7"/>
  <c r="M393" i="7"/>
  <c r="N392" i="7"/>
  <c r="M392" i="7"/>
  <c r="N391" i="7"/>
  <c r="M391" i="7"/>
  <c r="N390" i="7"/>
  <c r="M390" i="7"/>
  <c r="N389" i="7"/>
  <c r="M389" i="7"/>
  <c r="N388" i="7"/>
  <c r="M388" i="7"/>
  <c r="N387" i="7"/>
  <c r="M387" i="7"/>
  <c r="N386" i="7"/>
  <c r="M386" i="7"/>
  <c r="N385" i="7"/>
  <c r="M385" i="7"/>
  <c r="N384" i="7"/>
  <c r="M384" i="7"/>
  <c r="N383" i="7"/>
  <c r="M383" i="7"/>
  <c r="N382" i="7"/>
  <c r="M382" i="7"/>
  <c r="N381" i="7"/>
  <c r="M381" i="7"/>
  <c r="N380" i="7"/>
  <c r="M380" i="7"/>
  <c r="N379" i="7"/>
  <c r="M379" i="7"/>
  <c r="N378" i="7"/>
  <c r="M378" i="7"/>
  <c r="N377" i="7"/>
  <c r="M377" i="7"/>
  <c r="N376" i="7"/>
  <c r="M376" i="7"/>
  <c r="N375" i="7"/>
  <c r="M375" i="7"/>
  <c r="N374" i="7"/>
  <c r="M374" i="7"/>
  <c r="N373" i="7"/>
  <c r="M373" i="7"/>
  <c r="N372" i="7"/>
  <c r="M372" i="7"/>
  <c r="N371" i="7"/>
  <c r="M371" i="7"/>
  <c r="N370" i="7"/>
  <c r="M370" i="7"/>
  <c r="N369" i="7"/>
  <c r="M369" i="7"/>
  <c r="N368" i="7"/>
  <c r="M368" i="7"/>
  <c r="N367" i="7"/>
  <c r="M367" i="7"/>
  <c r="N366" i="7"/>
  <c r="M366" i="7"/>
  <c r="N365" i="7"/>
  <c r="M365" i="7"/>
  <c r="N364" i="7"/>
  <c r="M364" i="7"/>
  <c r="N363" i="7"/>
  <c r="M363" i="7"/>
  <c r="N362" i="7"/>
  <c r="M362" i="7"/>
  <c r="N361" i="7"/>
  <c r="M361" i="7"/>
  <c r="N360" i="7"/>
  <c r="M360" i="7"/>
  <c r="N359" i="7"/>
  <c r="M359" i="7"/>
  <c r="N358" i="7"/>
  <c r="M358" i="7"/>
  <c r="N357" i="7"/>
  <c r="M357" i="7"/>
  <c r="N356" i="7"/>
  <c r="M356" i="7"/>
  <c r="N355" i="7"/>
  <c r="M355" i="7"/>
  <c r="N354" i="7"/>
  <c r="M354" i="7"/>
  <c r="N353" i="7"/>
  <c r="M353" i="7"/>
  <c r="N352" i="7"/>
  <c r="M352" i="7"/>
  <c r="N351" i="7"/>
  <c r="M351" i="7"/>
  <c r="N350" i="7"/>
  <c r="M350" i="7"/>
  <c r="N349" i="7"/>
  <c r="M349" i="7"/>
  <c r="N348" i="7"/>
  <c r="M348" i="7"/>
  <c r="N347" i="7"/>
  <c r="M347" i="7"/>
  <c r="N346" i="7"/>
  <c r="M346" i="7"/>
  <c r="N345" i="7"/>
  <c r="M345" i="7"/>
  <c r="N344" i="7"/>
  <c r="M344" i="7"/>
  <c r="N343" i="7"/>
  <c r="M343" i="7"/>
  <c r="N342" i="7"/>
  <c r="M342" i="7"/>
  <c r="N341" i="7"/>
  <c r="M341" i="7"/>
  <c r="N340" i="7"/>
  <c r="M340" i="7"/>
  <c r="N339" i="7"/>
  <c r="M339" i="7"/>
  <c r="N338" i="7"/>
  <c r="M338" i="7"/>
  <c r="N337" i="7"/>
  <c r="M337" i="7"/>
  <c r="N336" i="7"/>
  <c r="M336" i="7"/>
  <c r="N335" i="7"/>
  <c r="M335" i="7"/>
  <c r="N334" i="7"/>
  <c r="M334" i="7"/>
  <c r="N333" i="7"/>
  <c r="M333" i="7"/>
  <c r="N332" i="7"/>
  <c r="M332" i="7"/>
  <c r="N331" i="7"/>
  <c r="M331" i="7"/>
  <c r="N330" i="7"/>
  <c r="M330" i="7"/>
  <c r="N329" i="7"/>
  <c r="M329" i="7"/>
  <c r="N328" i="7"/>
  <c r="M328" i="7"/>
  <c r="N327" i="7"/>
  <c r="M327" i="7"/>
  <c r="N326" i="7"/>
  <c r="M326" i="7"/>
  <c r="N325" i="7"/>
  <c r="M325" i="7"/>
  <c r="N324" i="7"/>
  <c r="M324" i="7"/>
  <c r="N323" i="7"/>
  <c r="M323" i="7"/>
  <c r="N322" i="7"/>
  <c r="M322" i="7"/>
  <c r="N321" i="7"/>
  <c r="M321" i="7"/>
  <c r="N320" i="7"/>
  <c r="M320" i="7"/>
  <c r="N319" i="7"/>
  <c r="M319" i="7"/>
  <c r="N318" i="7"/>
  <c r="M318" i="7"/>
  <c r="N317" i="7"/>
  <c r="M317" i="7"/>
  <c r="N316" i="7"/>
  <c r="M316" i="7"/>
  <c r="N315" i="7"/>
  <c r="M315" i="7"/>
  <c r="N314" i="7"/>
  <c r="M314" i="7"/>
  <c r="N313" i="7"/>
  <c r="M313" i="7"/>
  <c r="N312" i="7"/>
  <c r="M312" i="7"/>
  <c r="N311" i="7"/>
  <c r="M311" i="7"/>
  <c r="N310" i="7"/>
  <c r="M310" i="7"/>
  <c r="N309" i="7"/>
  <c r="M309" i="7"/>
  <c r="N308" i="7"/>
  <c r="M308" i="7"/>
  <c r="N307" i="7"/>
  <c r="M307" i="7"/>
  <c r="N306" i="7"/>
  <c r="M306" i="7"/>
  <c r="N305" i="7"/>
  <c r="M305" i="7"/>
  <c r="N304" i="7"/>
  <c r="M304" i="7"/>
  <c r="N303" i="7"/>
  <c r="M303" i="7"/>
  <c r="N302" i="7"/>
  <c r="M302" i="7"/>
  <c r="N301" i="7"/>
  <c r="M301" i="7"/>
  <c r="N300" i="7"/>
  <c r="M300" i="7"/>
  <c r="N299" i="7"/>
  <c r="M299" i="7"/>
  <c r="N298" i="7"/>
  <c r="M298" i="7"/>
  <c r="N297" i="7"/>
  <c r="M297" i="7"/>
  <c r="N296" i="7"/>
  <c r="M296" i="7"/>
  <c r="N295" i="7"/>
  <c r="M295" i="7"/>
  <c r="N294" i="7"/>
  <c r="M294" i="7"/>
  <c r="N293" i="7"/>
  <c r="M293" i="7"/>
  <c r="N292" i="7"/>
  <c r="M292" i="7"/>
  <c r="N291" i="7"/>
  <c r="M291" i="7"/>
  <c r="N290" i="7"/>
  <c r="M290" i="7"/>
  <c r="N289" i="7"/>
  <c r="M289" i="7"/>
  <c r="N288" i="7"/>
  <c r="M288" i="7"/>
  <c r="N287" i="7"/>
  <c r="M287" i="7"/>
  <c r="N286" i="7"/>
  <c r="M286" i="7"/>
  <c r="N285" i="7"/>
  <c r="M285" i="7"/>
  <c r="N284" i="7"/>
  <c r="M284" i="7"/>
  <c r="N283" i="7"/>
  <c r="M283" i="7"/>
  <c r="N282" i="7"/>
  <c r="M282" i="7"/>
  <c r="N281" i="7"/>
  <c r="M281" i="7"/>
  <c r="N280" i="7"/>
  <c r="M280" i="7"/>
  <c r="N279" i="7"/>
  <c r="M279" i="7"/>
  <c r="N278" i="7"/>
  <c r="M278" i="7"/>
  <c r="N277" i="7"/>
  <c r="M277" i="7"/>
  <c r="N276" i="7"/>
  <c r="M276" i="7"/>
  <c r="N275" i="7"/>
  <c r="M275" i="7"/>
  <c r="N274" i="7"/>
  <c r="M274" i="7"/>
  <c r="N273" i="7"/>
  <c r="M273" i="7"/>
  <c r="N272" i="7"/>
  <c r="M272" i="7"/>
  <c r="N271" i="7"/>
  <c r="M271" i="7"/>
  <c r="N270" i="7"/>
  <c r="M270" i="7"/>
  <c r="N269" i="7"/>
  <c r="M269" i="7"/>
  <c r="N268" i="7"/>
  <c r="M268" i="7"/>
  <c r="N267" i="7"/>
  <c r="M267" i="7"/>
  <c r="N266" i="7"/>
  <c r="M266" i="7"/>
  <c r="N265" i="7"/>
  <c r="M265" i="7"/>
  <c r="N264" i="7"/>
  <c r="M264" i="7"/>
  <c r="N263" i="7"/>
  <c r="M263" i="7"/>
  <c r="N262" i="7"/>
  <c r="M262" i="7"/>
  <c r="N261" i="7"/>
  <c r="M261" i="7"/>
  <c r="N260" i="7"/>
  <c r="M260" i="7"/>
  <c r="N259" i="7"/>
  <c r="M259" i="7"/>
  <c r="N258" i="7"/>
  <c r="M258" i="7"/>
  <c r="N257" i="7"/>
  <c r="M257" i="7"/>
  <c r="N256" i="7"/>
  <c r="M256" i="7"/>
  <c r="N255" i="7"/>
  <c r="M255" i="7"/>
  <c r="N254" i="7"/>
  <c r="M254" i="7"/>
  <c r="N253" i="7"/>
  <c r="M253" i="7"/>
  <c r="N252" i="7"/>
  <c r="M252" i="7"/>
  <c r="N251" i="7"/>
  <c r="M251" i="7"/>
  <c r="N250" i="7"/>
  <c r="M250" i="7"/>
  <c r="N249" i="7"/>
  <c r="M249" i="7"/>
  <c r="N248" i="7"/>
  <c r="M248" i="7"/>
  <c r="N247" i="7"/>
  <c r="M247" i="7"/>
  <c r="N246" i="7"/>
  <c r="M246" i="7"/>
  <c r="N245" i="7"/>
  <c r="M245" i="7"/>
  <c r="N244" i="7"/>
  <c r="M244" i="7"/>
  <c r="N243" i="7"/>
  <c r="M243" i="7"/>
  <c r="N242" i="7"/>
  <c r="M242" i="7"/>
  <c r="N241" i="7"/>
  <c r="M241" i="7"/>
  <c r="N240" i="7"/>
  <c r="M240" i="7"/>
  <c r="N239" i="7"/>
  <c r="M239" i="7"/>
  <c r="N238" i="7"/>
  <c r="M238" i="7"/>
  <c r="N237" i="7"/>
  <c r="M237" i="7"/>
  <c r="N236" i="7"/>
  <c r="M236" i="7"/>
  <c r="N235" i="7"/>
  <c r="M235" i="7"/>
  <c r="N234" i="7"/>
  <c r="M234" i="7"/>
  <c r="N233" i="7"/>
  <c r="M233" i="7"/>
  <c r="N232" i="7"/>
  <c r="M232" i="7"/>
  <c r="N231" i="7"/>
  <c r="M231" i="7"/>
  <c r="N230" i="7"/>
  <c r="M230" i="7"/>
  <c r="N229" i="7"/>
  <c r="M229" i="7"/>
  <c r="N228" i="7"/>
  <c r="M228" i="7"/>
  <c r="N227" i="7"/>
  <c r="M227" i="7"/>
  <c r="N226" i="7"/>
  <c r="M226" i="7"/>
  <c r="N225" i="7"/>
  <c r="M225" i="7"/>
  <c r="N224" i="7"/>
  <c r="M224" i="7"/>
  <c r="N223" i="7"/>
  <c r="M223" i="7"/>
  <c r="N222" i="7"/>
  <c r="M222" i="7"/>
  <c r="N221" i="7"/>
  <c r="M221" i="7"/>
  <c r="N220" i="7"/>
  <c r="M220" i="7"/>
  <c r="N219" i="7"/>
  <c r="M219" i="7"/>
  <c r="N218" i="7"/>
  <c r="M218" i="7"/>
  <c r="N217" i="7"/>
  <c r="M217" i="7"/>
  <c r="N216" i="7"/>
  <c r="M216" i="7"/>
  <c r="N215" i="7"/>
  <c r="M215" i="7"/>
  <c r="N214" i="7"/>
  <c r="M214" i="7"/>
  <c r="N213" i="7"/>
  <c r="M213" i="7"/>
  <c r="N212" i="7"/>
  <c r="M212" i="7"/>
  <c r="N211" i="7"/>
  <c r="M211" i="7"/>
  <c r="N210" i="7"/>
  <c r="M210" i="7"/>
  <c r="N209" i="7"/>
  <c r="M209" i="7"/>
  <c r="N208" i="7"/>
  <c r="M208" i="7"/>
  <c r="N207" i="7"/>
  <c r="M207" i="7"/>
  <c r="N206" i="7"/>
  <c r="M206" i="7"/>
  <c r="N205" i="7"/>
  <c r="M205" i="7"/>
  <c r="N204" i="7"/>
  <c r="M204" i="7"/>
  <c r="N203" i="7"/>
  <c r="M203" i="7"/>
  <c r="N202" i="7"/>
  <c r="M202" i="7"/>
  <c r="N201" i="7"/>
  <c r="M201" i="7"/>
  <c r="N200" i="7"/>
  <c r="M200" i="7"/>
  <c r="N199" i="7"/>
  <c r="M199" i="7"/>
  <c r="N198" i="7"/>
  <c r="M198" i="7"/>
  <c r="N197" i="7"/>
  <c r="M197" i="7"/>
  <c r="N196" i="7"/>
  <c r="M196" i="7"/>
  <c r="N195" i="7"/>
  <c r="M195" i="7"/>
  <c r="N194" i="7"/>
  <c r="M194" i="7"/>
  <c r="N193" i="7"/>
  <c r="M193" i="7"/>
  <c r="N192" i="7"/>
  <c r="M192" i="7"/>
  <c r="N191" i="7"/>
  <c r="M191" i="7"/>
  <c r="N190" i="7"/>
  <c r="M190" i="7"/>
  <c r="N189" i="7"/>
  <c r="M189" i="7"/>
  <c r="N188" i="7"/>
  <c r="M188" i="7"/>
  <c r="N187" i="7"/>
  <c r="M187" i="7"/>
  <c r="N186" i="7"/>
  <c r="M186" i="7"/>
  <c r="N185" i="7"/>
  <c r="M185" i="7"/>
  <c r="N184" i="7"/>
  <c r="M184" i="7"/>
  <c r="N183" i="7"/>
  <c r="M183" i="7"/>
  <c r="N182" i="7"/>
  <c r="M182" i="7"/>
  <c r="N181" i="7"/>
  <c r="M181" i="7"/>
  <c r="N180" i="7"/>
  <c r="M180" i="7"/>
  <c r="N179" i="7"/>
  <c r="M179" i="7"/>
  <c r="N178" i="7"/>
  <c r="M178" i="7"/>
  <c r="N177" i="7"/>
  <c r="M177" i="7"/>
  <c r="N176" i="7"/>
  <c r="M176" i="7"/>
  <c r="N175" i="7"/>
  <c r="M175" i="7"/>
  <c r="N174" i="7"/>
  <c r="M174" i="7"/>
  <c r="N173" i="7"/>
  <c r="M173" i="7"/>
  <c r="N172" i="7"/>
  <c r="M172" i="7"/>
  <c r="N171" i="7"/>
  <c r="M171" i="7"/>
  <c r="N170" i="7"/>
  <c r="M170" i="7"/>
  <c r="N169" i="7"/>
  <c r="M169" i="7"/>
  <c r="N168" i="7"/>
  <c r="M168" i="7"/>
  <c r="N167" i="7"/>
  <c r="M167" i="7"/>
  <c r="N166" i="7"/>
  <c r="M166" i="7"/>
  <c r="N165" i="7"/>
  <c r="M165" i="7"/>
  <c r="N164" i="7"/>
  <c r="M164" i="7"/>
  <c r="N163" i="7"/>
  <c r="M163" i="7"/>
  <c r="N162" i="7"/>
  <c r="M162" i="7"/>
  <c r="N161" i="7"/>
  <c r="M161" i="7"/>
  <c r="N160" i="7"/>
  <c r="M160" i="7"/>
  <c r="N159" i="7"/>
  <c r="M159" i="7"/>
  <c r="N158" i="7"/>
  <c r="M158" i="7"/>
  <c r="N157" i="7"/>
  <c r="M157" i="7"/>
  <c r="N156" i="7"/>
  <c r="M156" i="7"/>
  <c r="N155" i="7"/>
  <c r="M155" i="7"/>
  <c r="N154" i="7"/>
  <c r="M154" i="7"/>
  <c r="N153" i="7"/>
  <c r="M153" i="7"/>
  <c r="N152" i="7"/>
  <c r="M152" i="7"/>
  <c r="N151" i="7"/>
  <c r="M151" i="7"/>
  <c r="N150" i="7"/>
  <c r="M150" i="7"/>
  <c r="N149" i="7"/>
  <c r="M149" i="7"/>
  <c r="N148" i="7"/>
  <c r="M148" i="7"/>
  <c r="N147" i="7"/>
  <c r="M147" i="7"/>
  <c r="N146" i="7"/>
  <c r="M146" i="7"/>
  <c r="N145" i="7"/>
  <c r="M145" i="7"/>
  <c r="N144" i="7"/>
  <c r="M144" i="7"/>
  <c r="N143" i="7"/>
  <c r="M143" i="7"/>
  <c r="N142" i="7"/>
  <c r="M142" i="7"/>
  <c r="N141" i="7"/>
  <c r="M141" i="7"/>
  <c r="N140" i="7"/>
  <c r="M140" i="7"/>
  <c r="N139" i="7"/>
  <c r="M139" i="7"/>
  <c r="N138" i="7"/>
  <c r="M138" i="7"/>
  <c r="N137" i="7"/>
  <c r="M137" i="7"/>
  <c r="N136" i="7"/>
  <c r="M136" i="7"/>
  <c r="N135" i="7"/>
  <c r="M135" i="7"/>
  <c r="N134" i="7"/>
  <c r="M134" i="7"/>
  <c r="N133" i="7"/>
  <c r="M133" i="7"/>
  <c r="N132" i="7"/>
  <c r="M132" i="7"/>
  <c r="N131" i="7"/>
  <c r="M131" i="7"/>
  <c r="N130" i="7"/>
  <c r="M130" i="7"/>
  <c r="N129" i="7"/>
  <c r="M129" i="7"/>
  <c r="N128" i="7"/>
  <c r="M128" i="7"/>
  <c r="N127" i="7"/>
  <c r="M127" i="7"/>
  <c r="N126" i="7"/>
  <c r="M126" i="7"/>
  <c r="N125" i="7"/>
  <c r="M125" i="7"/>
  <c r="N124" i="7"/>
  <c r="M124" i="7"/>
  <c r="N123" i="7"/>
  <c r="M123" i="7"/>
  <c r="N122" i="7"/>
  <c r="M122" i="7"/>
  <c r="N121" i="7"/>
  <c r="M121" i="7"/>
  <c r="N120" i="7"/>
  <c r="M120" i="7"/>
  <c r="N119" i="7"/>
  <c r="M119" i="7"/>
  <c r="N118" i="7"/>
  <c r="M118" i="7"/>
  <c r="N117" i="7"/>
  <c r="M117" i="7"/>
  <c r="N116" i="7"/>
  <c r="M116" i="7"/>
  <c r="N115" i="7"/>
  <c r="M115" i="7"/>
  <c r="N114" i="7"/>
  <c r="M114" i="7"/>
  <c r="N113" i="7"/>
  <c r="M113" i="7"/>
  <c r="N112" i="7"/>
  <c r="M112" i="7"/>
  <c r="N111" i="7"/>
  <c r="M111" i="7"/>
  <c r="N110" i="7"/>
  <c r="M110" i="7"/>
  <c r="N109" i="7"/>
  <c r="M109" i="7"/>
  <c r="N108" i="7"/>
  <c r="M108" i="7"/>
  <c r="N107" i="7"/>
  <c r="M107" i="7"/>
  <c r="N106" i="7"/>
  <c r="M106" i="7"/>
  <c r="N105" i="7"/>
  <c r="M105" i="7"/>
  <c r="N104" i="7"/>
  <c r="M104" i="7"/>
  <c r="N103" i="7"/>
  <c r="M103" i="7"/>
  <c r="N102" i="7"/>
  <c r="M102" i="7"/>
  <c r="N101" i="7"/>
  <c r="M101" i="7"/>
  <c r="N100" i="7"/>
  <c r="M100" i="7"/>
  <c r="N99" i="7"/>
  <c r="M99" i="7"/>
  <c r="N98" i="7"/>
  <c r="M98" i="7"/>
  <c r="N97" i="7"/>
  <c r="M97" i="7"/>
  <c r="N96" i="7"/>
  <c r="M96" i="7"/>
  <c r="N95" i="7"/>
  <c r="M95" i="7"/>
  <c r="N94" i="7"/>
  <c r="M94" i="7"/>
  <c r="N93" i="7"/>
  <c r="M93" i="7"/>
  <c r="N92" i="7"/>
  <c r="M92" i="7"/>
  <c r="N91" i="7"/>
  <c r="M91" i="7"/>
  <c r="N90" i="7"/>
  <c r="M90" i="7"/>
  <c r="N89" i="7"/>
  <c r="M89" i="7"/>
  <c r="N88" i="7"/>
  <c r="M88" i="7"/>
  <c r="N87" i="7"/>
  <c r="M87" i="7"/>
  <c r="N86" i="7"/>
  <c r="M86" i="7"/>
  <c r="N85" i="7"/>
  <c r="M85" i="7"/>
  <c r="N84" i="7"/>
  <c r="M84" i="7"/>
  <c r="N83" i="7"/>
  <c r="M83" i="7"/>
  <c r="N82" i="7"/>
  <c r="M82" i="7"/>
  <c r="N81" i="7"/>
  <c r="M81" i="7"/>
  <c r="N80" i="7"/>
  <c r="M80" i="7"/>
  <c r="N79" i="7"/>
  <c r="M79" i="7"/>
  <c r="N78" i="7"/>
  <c r="M78" i="7"/>
  <c r="N77" i="7"/>
  <c r="M77" i="7"/>
  <c r="N76" i="7"/>
  <c r="M76" i="7"/>
  <c r="N75" i="7"/>
  <c r="M75" i="7"/>
  <c r="N74" i="7"/>
  <c r="M74" i="7"/>
  <c r="N73" i="7"/>
  <c r="M73" i="7"/>
  <c r="N72" i="7"/>
  <c r="M72" i="7"/>
  <c r="N71" i="7"/>
  <c r="M71" i="7"/>
  <c r="N70" i="7"/>
  <c r="M70" i="7"/>
  <c r="N69" i="7"/>
  <c r="M69" i="7"/>
  <c r="N68" i="7"/>
  <c r="M68" i="7"/>
  <c r="N67" i="7"/>
  <c r="M67" i="7"/>
  <c r="N66" i="7"/>
  <c r="M66" i="7"/>
  <c r="N65" i="7"/>
  <c r="M65" i="7"/>
  <c r="N64" i="7"/>
  <c r="M64" i="7"/>
  <c r="N63" i="7"/>
  <c r="M63" i="7"/>
  <c r="N62" i="7"/>
  <c r="M62" i="7"/>
  <c r="N61" i="7"/>
  <c r="M61" i="7"/>
  <c r="N60" i="7"/>
  <c r="M60" i="7"/>
  <c r="N59" i="7"/>
  <c r="M59" i="7"/>
  <c r="N58" i="7"/>
  <c r="M58" i="7"/>
  <c r="N57" i="7"/>
  <c r="M57" i="7"/>
  <c r="N56" i="7"/>
  <c r="M56" i="7"/>
  <c r="N55" i="7"/>
  <c r="M55" i="7"/>
  <c r="N54" i="7"/>
  <c r="M54" i="7"/>
  <c r="N53" i="7"/>
  <c r="M53" i="7"/>
  <c r="N52" i="7"/>
  <c r="M52" i="7"/>
  <c r="N51" i="7"/>
  <c r="M51" i="7"/>
  <c r="N50" i="7"/>
  <c r="M50" i="7"/>
  <c r="N49" i="7"/>
  <c r="M49" i="7"/>
  <c r="N48" i="7"/>
  <c r="M48" i="7"/>
  <c r="N47" i="7"/>
  <c r="M47" i="7"/>
  <c r="N46" i="7"/>
  <c r="M46" i="7"/>
  <c r="N45" i="7"/>
  <c r="M45" i="7"/>
  <c r="N44" i="7"/>
  <c r="M44" i="7"/>
  <c r="N43" i="7"/>
  <c r="M43" i="7"/>
  <c r="N42" i="7"/>
  <c r="M42" i="7"/>
  <c r="N41" i="7"/>
  <c r="M41" i="7"/>
  <c r="N40" i="7"/>
  <c r="M40" i="7"/>
  <c r="N39" i="7"/>
  <c r="M39" i="7"/>
  <c r="N38" i="7"/>
  <c r="M38" i="7"/>
  <c r="N37" i="7"/>
  <c r="M37" i="7"/>
  <c r="N36" i="7"/>
  <c r="M36" i="7"/>
  <c r="N35" i="7"/>
  <c r="M35" i="7"/>
  <c r="N34" i="7"/>
  <c r="M34" i="7"/>
  <c r="N33" i="7"/>
  <c r="M33" i="7"/>
  <c r="N32" i="7"/>
  <c r="M32" i="7"/>
  <c r="N31" i="7"/>
  <c r="M31" i="7"/>
  <c r="N30" i="7"/>
  <c r="M30" i="7"/>
  <c r="N29" i="7"/>
  <c r="M29" i="7"/>
  <c r="N28" i="7"/>
  <c r="M28" i="7"/>
  <c r="N27" i="7"/>
  <c r="M27" i="7"/>
  <c r="N26" i="7"/>
  <c r="M26" i="7"/>
  <c r="N25" i="7"/>
  <c r="M25" i="7"/>
  <c r="N24" i="7"/>
  <c r="M24" i="7"/>
  <c r="N23" i="7"/>
  <c r="M23" i="7"/>
  <c r="N22" i="7"/>
  <c r="M22" i="7"/>
  <c r="N21" i="7"/>
  <c r="M21" i="7"/>
  <c r="N20" i="7"/>
  <c r="M20" i="7"/>
  <c r="N19" i="7"/>
  <c r="M19" i="7"/>
  <c r="N18" i="7"/>
  <c r="M18" i="7"/>
  <c r="Q41" i="2"/>
  <c r="R41" i="2"/>
  <c r="Q42" i="2"/>
  <c r="R42" i="2"/>
  <c r="Q43" i="2"/>
  <c r="R43" i="2"/>
  <c r="Q44" i="2"/>
  <c r="R44" i="2"/>
  <c r="Q45" i="2"/>
  <c r="R45" i="2"/>
  <c r="Q46" i="2"/>
  <c r="R46" i="2"/>
  <c r="Q47" i="2"/>
  <c r="R47" i="2"/>
  <c r="R40" i="2"/>
  <c r="Q40" i="2"/>
  <c r="P40" i="2"/>
  <c r="P41" i="2"/>
  <c r="P42" i="2"/>
  <c r="P43" i="2"/>
  <c r="P44" i="2"/>
  <c r="P45" i="2"/>
  <c r="P46" i="2"/>
  <c r="P47" i="2"/>
  <c r="P39" i="2"/>
  <c r="M16" i="7"/>
  <c r="N17" i="7"/>
  <c r="M17" i="7"/>
  <c r="N15" i="7"/>
  <c r="M15" i="7"/>
  <c r="O15" i="7" s="1"/>
  <c r="N16" i="7"/>
  <c r="H217" i="5"/>
  <c r="J216" i="5"/>
  <c r="J215" i="5"/>
  <c r="J214" i="5"/>
  <c r="J213" i="5"/>
  <c r="J212" i="5"/>
  <c r="J211" i="5"/>
  <c r="AA160" i="5"/>
  <c r="Y154" i="5"/>
  <c r="AI7" i="5"/>
  <c r="Y165" i="5"/>
  <c r="Y164" i="5"/>
  <c r="Y163" i="5"/>
  <c r="Y161" i="5"/>
  <c r="Y160" i="5"/>
  <c r="AC162" i="5"/>
  <c r="AC158" i="5"/>
  <c r="AC156" i="5"/>
  <c r="AC155" i="5"/>
  <c r="AC153" i="5"/>
  <c r="AB165" i="5"/>
  <c r="AB164" i="5"/>
  <c r="AB163" i="5"/>
  <c r="AB154" i="5"/>
  <c r="AB152" i="5"/>
  <c r="X165" i="5"/>
  <c r="X164" i="5"/>
  <c r="X163" i="5"/>
  <c r="X161" i="5"/>
  <c r="X160" i="5"/>
  <c r="AC160" i="5"/>
  <c r="Y152" i="5"/>
  <c r="Y151" i="5"/>
  <c r="Y150" i="5"/>
  <c r="Y149" i="5"/>
  <c r="Y148" i="5"/>
  <c r="Y147" i="5"/>
  <c r="Y146" i="5"/>
  <c r="Y145" i="5"/>
  <c r="Y144" i="5"/>
  <c r="X154" i="5"/>
  <c r="AC154" i="5"/>
  <c r="X152" i="5"/>
  <c r="AC152" i="5"/>
  <c r="X151" i="5"/>
  <c r="X150" i="5"/>
  <c r="X149" i="5"/>
  <c r="AC149" i="5"/>
  <c r="X148" i="5"/>
  <c r="AC148" i="5"/>
  <c r="X145" i="5"/>
  <c r="R39" i="6"/>
  <c r="L39" i="6"/>
  <c r="Q39" i="6"/>
  <c r="Q58" i="6"/>
  <c r="Q57" i="6"/>
  <c r="R42" i="6"/>
  <c r="Q40" i="6"/>
  <c r="Q45" i="6"/>
  <c r="Q56" i="6"/>
  <c r="S55" i="6"/>
  <c r="R40" i="6"/>
  <c r="S56" i="6"/>
  <c r="Q59" i="6"/>
  <c r="Q43" i="6"/>
  <c r="Q48" i="6"/>
  <c r="Q47" i="6"/>
  <c r="R55" i="6"/>
  <c r="R56" i="6"/>
  <c r="Q41" i="6"/>
  <c r="Q42" i="6"/>
  <c r="R44" i="6"/>
  <c r="Q44" i="6"/>
  <c r="Q46" i="6"/>
  <c r="Q55" i="6"/>
  <c r="L41" i="6"/>
  <c r="L56" i="6"/>
  <c r="L59" i="6"/>
  <c r="L48" i="6"/>
  <c r="L44" i="6"/>
  <c r="L57" i="6"/>
  <c r="L46" i="6"/>
  <c r="L40" i="6"/>
  <c r="L47" i="6"/>
  <c r="L42" i="6"/>
  <c r="L45" i="6"/>
  <c r="L43" i="6"/>
  <c r="L58" i="6"/>
  <c r="L55" i="6"/>
  <c r="D217" i="5"/>
  <c r="AP7" i="5"/>
  <c r="H202" i="5"/>
  <c r="H203" i="5"/>
  <c r="H205" i="5"/>
  <c r="H206" i="5"/>
  <c r="H201" i="5"/>
  <c r="E24" i="6"/>
  <c r="E101" i="6"/>
  <c r="E98" i="6"/>
  <c r="E97" i="6"/>
  <c r="E96" i="6"/>
  <c r="E95" i="6"/>
  <c r="E94" i="6"/>
  <c r="E93" i="6"/>
  <c r="E92" i="6"/>
  <c r="E91" i="6"/>
  <c r="E83" i="6"/>
  <c r="E82" i="6"/>
  <c r="E81" i="6"/>
  <c r="E80" i="6"/>
  <c r="E76" i="6"/>
  <c r="E75" i="6"/>
  <c r="E74" i="6"/>
  <c r="E70" i="6"/>
  <c r="E69" i="6"/>
  <c r="E68" i="6"/>
  <c r="E67" i="6"/>
  <c r="E63" i="6"/>
  <c r="E62" i="6"/>
  <c r="E61" i="6"/>
  <c r="E60" i="6"/>
  <c r="E59" i="6"/>
  <c r="E64" i="6" s="1"/>
  <c r="E58" i="6"/>
  <c r="E57" i="6"/>
  <c r="E56" i="6"/>
  <c r="S10" i="5"/>
  <c r="Q22" i="6"/>
  <c r="Q20" i="6"/>
  <c r="Q23" i="6"/>
  <c r="AA14" i="6"/>
  <c r="AA11" i="6"/>
  <c r="Y14" i="6"/>
  <c r="Y12" i="6"/>
  <c r="Y11" i="6"/>
  <c r="U15" i="6"/>
  <c r="U11" i="6"/>
  <c r="E51" i="6"/>
  <c r="E52" i="6"/>
  <c r="E50" i="6"/>
  <c r="E49" i="6"/>
  <c r="E48" i="6"/>
  <c r="E44" i="6"/>
  <c r="E43" i="6"/>
  <c r="E45" i="6" s="1"/>
  <c r="E27" i="6"/>
  <c r="E31" i="6"/>
  <c r="E30" i="6"/>
  <c r="E29" i="6"/>
  <c r="E26" i="6"/>
  <c r="E19" i="6"/>
  <c r="E18" i="6"/>
  <c r="E25" i="6"/>
  <c r="E13" i="6"/>
  <c r="AT7" i="5"/>
  <c r="Q24" i="6"/>
  <c r="A31" i="6"/>
  <c r="A30" i="6"/>
  <c r="A29" i="6"/>
  <c r="A26" i="6"/>
  <c r="A19" i="6"/>
  <c r="A18" i="6"/>
  <c r="A25" i="6"/>
  <c r="A24" i="6"/>
  <c r="A14" i="6"/>
  <c r="A13" i="6"/>
  <c r="A12" i="6"/>
  <c r="AX7" i="5"/>
  <c r="E67" i="11"/>
  <c r="E43" i="11"/>
  <c r="J222" i="5"/>
  <c r="J225" i="5"/>
  <c r="AU10" i="5"/>
  <c r="D31" i="11"/>
  <c r="D32" i="11" s="1"/>
  <c r="G41" i="9"/>
  <c r="F41" i="9"/>
  <c r="E41" i="9"/>
  <c r="D41" i="9"/>
  <c r="C41" i="9"/>
  <c r="G40" i="9"/>
  <c r="F40" i="9"/>
  <c r="E40" i="9"/>
  <c r="D40" i="9"/>
  <c r="C40" i="9"/>
  <c r="G39" i="9"/>
  <c r="F39" i="9"/>
  <c r="E39" i="9"/>
  <c r="D39" i="9"/>
  <c r="C39" i="9"/>
  <c r="G38" i="9"/>
  <c r="F38" i="9"/>
  <c r="E38" i="9"/>
  <c r="D38" i="9"/>
  <c r="C38" i="9"/>
  <c r="G37" i="9"/>
  <c r="F37" i="9"/>
  <c r="E37" i="9"/>
  <c r="D37" i="9"/>
  <c r="C37" i="9"/>
  <c r="G36" i="9"/>
  <c r="F36" i="9"/>
  <c r="E36" i="9"/>
  <c r="D36" i="9"/>
  <c r="C36" i="9"/>
  <c r="G35" i="9"/>
  <c r="F35" i="9"/>
  <c r="E35" i="9"/>
  <c r="D35" i="9"/>
  <c r="C35" i="9"/>
  <c r="G34" i="9"/>
  <c r="F34" i="9"/>
  <c r="E34" i="9"/>
  <c r="D34" i="9"/>
  <c r="C34" i="9"/>
  <c r="G33" i="9"/>
  <c r="F33" i="9"/>
  <c r="E33" i="9"/>
  <c r="D33" i="9"/>
  <c r="C33" i="9"/>
  <c r="G32" i="9"/>
  <c r="F32" i="9"/>
  <c r="E32" i="9"/>
  <c r="D32" i="9"/>
  <c r="C32" i="9"/>
  <c r="G31" i="9"/>
  <c r="F31" i="9"/>
  <c r="E31" i="9"/>
  <c r="D31" i="9"/>
  <c r="C31" i="9"/>
  <c r="G30" i="9"/>
  <c r="F30" i="9"/>
  <c r="E30" i="9"/>
  <c r="D30" i="9"/>
  <c r="C30" i="9"/>
  <c r="G29" i="9"/>
  <c r="F29" i="9"/>
  <c r="E29" i="9"/>
  <c r="D29" i="9"/>
  <c r="C29" i="9"/>
  <c r="G28" i="9"/>
  <c r="G27" i="9"/>
  <c r="F28" i="9"/>
  <c r="F27" i="9"/>
  <c r="E28" i="9"/>
  <c r="E27" i="9"/>
  <c r="D27" i="9"/>
  <c r="C27" i="9"/>
  <c r="B27" i="9"/>
  <c r="A27" i="9"/>
  <c r="C28" i="9"/>
  <c r="D28" i="9"/>
  <c r="I158" i="8"/>
  <c r="C166" i="8"/>
  <c r="B38" i="9" s="1"/>
  <c r="C157" i="8"/>
  <c r="B34" i="9" s="1"/>
  <c r="C153" i="8"/>
  <c r="B30" i="9" s="1"/>
  <c r="K15" i="3"/>
  <c r="J15" i="3"/>
  <c r="H16" i="3"/>
  <c r="A2" i="10"/>
  <c r="A2" i="9"/>
  <c r="C3" i="7"/>
  <c r="E8" i="8"/>
  <c r="E7" i="8"/>
  <c r="B15" i="5"/>
  <c r="D2" i="4"/>
  <c r="G3" i="3"/>
  <c r="B2" i="1"/>
  <c r="B1" i="11"/>
  <c r="F10" i="2"/>
  <c r="F9" i="2"/>
  <c r="B2" i="11"/>
  <c r="EO4" i="5"/>
  <c r="EN4" i="5"/>
  <c r="EG5" i="5"/>
  <c r="EG4" i="5"/>
  <c r="EE5" i="5"/>
  <c r="EE4" i="5"/>
  <c r="EC5" i="5"/>
  <c r="EC4" i="5"/>
  <c r="EA5" i="5"/>
  <c r="EA4" i="5"/>
  <c r="DY5" i="5"/>
  <c r="DY4" i="5"/>
  <c r="DW5" i="5"/>
  <c r="DW4" i="5"/>
  <c r="DU5" i="5"/>
  <c r="DU4" i="5"/>
  <c r="DS5" i="5"/>
  <c r="DS4" i="5"/>
  <c r="DQ5" i="5"/>
  <c r="DQ4" i="5"/>
  <c r="DO5" i="5"/>
  <c r="DO4" i="5"/>
  <c r="DM5" i="5"/>
  <c r="DM4" i="5"/>
  <c r="DK5" i="5"/>
  <c r="DK4" i="5"/>
  <c r="DI5" i="5"/>
  <c r="DI4" i="5"/>
  <c r="DG5" i="5"/>
  <c r="DG4" i="5"/>
  <c r="DE5" i="5"/>
  <c r="DE4" i="5"/>
  <c r="DC5" i="5"/>
  <c r="DC4" i="5"/>
  <c r="DA5" i="5"/>
  <c r="DA4" i="5"/>
  <c r="CY5" i="5"/>
  <c r="CY4" i="5"/>
  <c r="CW5" i="5"/>
  <c r="CW4" i="5"/>
  <c r="CU5" i="5"/>
  <c r="CU4" i="5"/>
  <c r="CS5" i="5"/>
  <c r="CS4" i="5"/>
  <c r="CQ5" i="5"/>
  <c r="CQ4" i="5"/>
  <c r="CO5" i="5"/>
  <c r="CO4" i="5"/>
  <c r="CM5" i="5"/>
  <c r="CM4" i="5"/>
  <c r="CK5" i="5"/>
  <c r="CK4" i="5"/>
  <c r="CI5" i="5"/>
  <c r="CI4" i="5"/>
  <c r="CG5" i="5"/>
  <c r="CG4" i="5"/>
  <c r="CE5" i="5"/>
  <c r="CE4" i="5"/>
  <c r="CC5" i="5"/>
  <c r="CC4" i="5"/>
  <c r="CA5" i="5"/>
  <c r="CA4" i="5"/>
  <c r="BY5" i="5"/>
  <c r="BY4" i="5"/>
  <c r="BW5" i="5"/>
  <c r="BW4" i="5"/>
  <c r="BU5" i="5"/>
  <c r="BU4" i="5"/>
  <c r="BS5" i="5"/>
  <c r="BS4" i="5"/>
  <c r="BQ5" i="5"/>
  <c r="BQ4" i="5"/>
  <c r="BO5" i="5"/>
  <c r="BO4" i="5"/>
  <c r="BK5" i="5"/>
  <c r="BK4" i="5"/>
  <c r="BH5" i="5"/>
  <c r="BH4" i="5"/>
  <c r="BG5" i="5"/>
  <c r="BG4" i="5"/>
  <c r="AR4" i="5"/>
  <c r="AN4" i="5"/>
  <c r="W5" i="5"/>
  <c r="W4" i="5"/>
  <c r="ET4" i="5"/>
  <c r="AT4" i="5"/>
  <c r="AK4" i="5"/>
  <c r="EP7" i="2"/>
  <c r="EO7" i="2"/>
  <c r="EN7" i="2"/>
  <c r="EM7" i="2"/>
  <c r="EL7" i="2"/>
  <c r="EK7" i="2"/>
  <c r="EJ7" i="2"/>
  <c r="EI7" i="2"/>
  <c r="E68" i="11"/>
  <c r="E63" i="11"/>
  <c r="E64" i="11"/>
  <c r="E65" i="11"/>
  <c r="E66" i="11"/>
  <c r="K161" i="8"/>
  <c r="K170" i="8"/>
  <c r="I149" i="8"/>
  <c r="K158" i="8"/>
  <c r="I170" i="8"/>
  <c r="E48" i="11"/>
  <c r="U30" i="5"/>
  <c r="U27" i="5"/>
  <c r="U26" i="5"/>
  <c r="U24" i="5"/>
  <c r="U23" i="5"/>
  <c r="U22" i="5"/>
  <c r="A19" i="2"/>
  <c r="B36" i="2" s="1"/>
  <c r="Q13" i="2" s="1"/>
  <c r="F24" i="11" s="1"/>
  <c r="A18" i="2"/>
  <c r="A17" i="2"/>
  <c r="AN7" i="2"/>
  <c r="AM7" i="2"/>
  <c r="AL7" i="2"/>
  <c r="AK7" i="2"/>
  <c r="AJ7" i="2"/>
  <c r="AI7" i="2"/>
  <c r="AH7" i="2"/>
  <c r="AG7" i="2"/>
  <c r="AF7" i="2"/>
  <c r="AE7" i="2"/>
  <c r="AD7" i="2"/>
  <c r="E27" i="11"/>
  <c r="E26" i="11"/>
  <c r="E25" i="11"/>
  <c r="E24" i="11"/>
  <c r="E23" i="11"/>
  <c r="D7" i="11"/>
  <c r="D6" i="11"/>
  <c r="H15" i="10"/>
  <c r="H11" i="10"/>
  <c r="J20" i="9"/>
  <c r="J16" i="9"/>
  <c r="J12" i="9"/>
  <c r="I12" i="8"/>
  <c r="I11" i="8"/>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U4" i="7"/>
  <c r="J17" i="5"/>
  <c r="F17" i="5"/>
  <c r="B73" i="2"/>
  <c r="A73" i="2"/>
  <c r="B72" i="2"/>
  <c r="A72" i="2"/>
  <c r="B71" i="2"/>
  <c r="A71" i="2"/>
  <c r="B70" i="2"/>
  <c r="A70" i="2"/>
  <c r="B69" i="2"/>
  <c r="A69" i="2"/>
  <c r="B68" i="2"/>
  <c r="A68" i="2"/>
  <c r="B67" i="2"/>
  <c r="A67" i="2"/>
  <c r="B66" i="2"/>
  <c r="A66" i="2"/>
  <c r="B65" i="2"/>
  <c r="A65" i="2"/>
  <c r="B64" i="2"/>
  <c r="A64" i="2"/>
  <c r="A63" i="2"/>
  <c r="B63" i="2"/>
  <c r="A60" i="2"/>
  <c r="A59" i="2"/>
  <c r="A58" i="2"/>
  <c r="A57" i="2"/>
  <c r="A56" i="2"/>
  <c r="A55" i="2"/>
  <c r="B61" i="2" s="1"/>
  <c r="A36" i="2"/>
  <c r="A35" i="2"/>
  <c r="A34" i="2"/>
  <c r="A33" i="2"/>
  <c r="A32" i="2"/>
  <c r="A31" i="2"/>
  <c r="A30" i="2"/>
  <c r="A29" i="2"/>
  <c r="X25" i="2"/>
  <c r="W25" i="2"/>
  <c r="V25" i="2"/>
  <c r="U25" i="2"/>
  <c r="T25" i="2"/>
  <c r="S25" i="2"/>
  <c r="R25" i="2"/>
  <c r="Q25" i="2"/>
  <c r="A28" i="2"/>
  <c r="A27" i="2"/>
  <c r="A26" i="2"/>
  <c r="A25" i="2"/>
  <c r="A24" i="2"/>
  <c r="A23" i="2"/>
  <c r="A22" i="2"/>
  <c r="A21" i="2"/>
  <c r="A20" i="2"/>
  <c r="A15" i="2"/>
  <c r="A14" i="2"/>
  <c r="F13" i="2"/>
  <c r="D5" i="2" s="1"/>
  <c r="A13" i="2"/>
  <c r="A12" i="2"/>
  <c r="EG7" i="2"/>
  <c r="EF7" i="2"/>
  <c r="EE7" i="2"/>
  <c r="ED7" i="2"/>
  <c r="EC7" i="2"/>
  <c r="EB7" i="2"/>
  <c r="EA7" i="2"/>
  <c r="DZ7" i="2"/>
  <c r="DY7" i="2"/>
  <c r="DX7" i="2"/>
  <c r="DW7" i="2"/>
  <c r="DV7" i="2"/>
  <c r="DU7" i="2"/>
  <c r="DT7" i="2"/>
  <c r="DS7" i="2"/>
  <c r="DR7" i="2"/>
  <c r="DQ7" i="2"/>
  <c r="DP7" i="2"/>
  <c r="DO7" i="2"/>
  <c r="DN7" i="2"/>
  <c r="DM7" i="2"/>
  <c r="DL7" i="2"/>
  <c r="DI7" i="2"/>
  <c r="DH7" i="2"/>
  <c r="DG7" i="2"/>
  <c r="DF7" i="2"/>
  <c r="DD7" i="2"/>
  <c r="DC7" i="2"/>
  <c r="DB7" i="2"/>
  <c r="DA7" i="2"/>
  <c r="CY7" i="2"/>
  <c r="CX7" i="2"/>
  <c r="CV7" i="2"/>
  <c r="CU7" i="2"/>
  <c r="CT7" i="2"/>
  <c r="CS7" i="2"/>
  <c r="CR7" i="2"/>
  <c r="CQ7" i="2"/>
  <c r="CO7" i="2"/>
  <c r="CN7" i="2"/>
  <c r="CM7" i="2"/>
  <c r="CL7" i="2"/>
  <c r="CK7" i="2"/>
  <c r="CJ7" i="2"/>
  <c r="CI7" i="2"/>
  <c r="CH7" i="2"/>
  <c r="CF7" i="2"/>
  <c r="CE7" i="2"/>
  <c r="CD7" i="2"/>
  <c r="CC7" i="2"/>
  <c r="CB7" i="2"/>
  <c r="CA7" i="2"/>
  <c r="BZ7" i="2"/>
  <c r="BY7" i="2"/>
  <c r="BX7" i="2"/>
  <c r="BV7" i="2"/>
  <c r="BU7" i="2"/>
  <c r="BT7" i="2"/>
  <c r="BS7" i="2"/>
  <c r="BR7" i="2"/>
  <c r="BQ7" i="2"/>
  <c r="BP7" i="2"/>
  <c r="BO7" i="2"/>
  <c r="BM7" i="2"/>
  <c r="BL7" i="2"/>
  <c r="BK7" i="2"/>
  <c r="BJ7" i="2"/>
  <c r="BG7" i="2"/>
  <c r="BF7" i="2"/>
  <c r="BE7" i="2"/>
  <c r="BD7" i="2"/>
  <c r="BC7" i="2"/>
  <c r="AV7" i="2"/>
  <c r="AU7" i="2"/>
  <c r="AT7" i="2"/>
  <c r="AS7" i="2"/>
  <c r="AC7" i="2"/>
  <c r="AB7" i="2"/>
  <c r="AA7" i="2"/>
  <c r="Z7" i="2"/>
  <c r="Y7" i="2"/>
  <c r="X7" i="2"/>
  <c r="W7" i="2"/>
  <c r="V7" i="2"/>
  <c r="U7" i="2"/>
  <c r="T7" i="2"/>
  <c r="S7" i="2"/>
  <c r="R7" i="2"/>
  <c r="Q7" i="2"/>
  <c r="P7" i="2"/>
  <c r="O7" i="2"/>
  <c r="N7" i="2"/>
  <c r="M7" i="2"/>
  <c r="L7" i="2"/>
  <c r="K7" i="2"/>
  <c r="J7" i="2"/>
  <c r="I7" i="2"/>
  <c r="H7" i="2"/>
  <c r="F7" i="2"/>
  <c r="E7" i="2"/>
  <c r="D7" i="2"/>
  <c r="C7" i="2"/>
  <c r="C5" i="2"/>
  <c r="BJ3" i="2"/>
  <c r="BI3" i="2"/>
  <c r="BH3" i="2"/>
  <c r="BG3" i="2"/>
  <c r="BF3" i="2"/>
  <c r="BE3" i="2"/>
  <c r="BD3" i="2"/>
  <c r="BC3" i="2"/>
  <c r="BB3" i="2"/>
  <c r="BA3" i="2"/>
  <c r="AZ3" i="2"/>
  <c r="AY3" i="2"/>
  <c r="AX3" i="2"/>
  <c r="AW3" i="2"/>
  <c r="AV3" i="2"/>
  <c r="AU3" i="2"/>
  <c r="AT3" i="2"/>
  <c r="AS3" i="2"/>
  <c r="AR3" i="2"/>
  <c r="AP3" i="2"/>
  <c r="AO3" i="2"/>
  <c r="AN3" i="2"/>
  <c r="AM3" i="2"/>
  <c r="AL3" i="2"/>
  <c r="AK3" i="2"/>
  <c r="AJ3" i="2"/>
  <c r="AI3" i="2"/>
  <c r="AH3" i="2"/>
  <c r="AG3" i="2"/>
  <c r="AF3" i="2"/>
  <c r="AE3" i="2"/>
  <c r="AD3" i="2"/>
  <c r="AC3" i="2"/>
  <c r="AB3" i="2"/>
  <c r="AA3" i="2"/>
  <c r="Z3" i="2"/>
  <c r="Y3" i="2"/>
  <c r="X3" i="2"/>
  <c r="V3" i="2"/>
  <c r="U3" i="2"/>
  <c r="T3" i="2"/>
  <c r="S3" i="2"/>
  <c r="R3" i="2"/>
  <c r="Q3" i="2"/>
  <c r="P3" i="2"/>
  <c r="O3" i="2"/>
  <c r="N3" i="2"/>
  <c r="M3" i="2"/>
  <c r="L3" i="2"/>
  <c r="K3" i="2"/>
  <c r="J3" i="2"/>
  <c r="I3" i="2"/>
  <c r="H3" i="2"/>
  <c r="G3" i="2"/>
  <c r="F3" i="2"/>
  <c r="E3" i="2"/>
  <c r="D3" i="2"/>
  <c r="C3" i="2"/>
  <c r="F1" i="2"/>
  <c r="A17" i="7"/>
  <c r="B168" i="8"/>
  <c r="A40" i="9" s="1"/>
  <c r="B7" i="4"/>
  <c r="D21" i="10"/>
  <c r="E71" i="11"/>
  <c r="O414" i="7"/>
  <c r="O413" i="7"/>
  <c r="O412" i="7"/>
  <c r="O411" i="7"/>
  <c r="O410" i="7"/>
  <c r="O409" i="7"/>
  <c r="O408" i="7"/>
  <c r="O407" i="7"/>
  <c r="O406" i="7"/>
  <c r="O405" i="7"/>
  <c r="O404" i="7"/>
  <c r="O403" i="7"/>
  <c r="O402" i="7"/>
  <c r="O401" i="7"/>
  <c r="O400" i="7"/>
  <c r="O399" i="7"/>
  <c r="O398" i="7"/>
  <c r="O397" i="7"/>
  <c r="O396" i="7"/>
  <c r="O395" i="7"/>
  <c r="O394" i="7"/>
  <c r="O393" i="7"/>
  <c r="O392" i="7"/>
  <c r="O391" i="7"/>
  <c r="O390" i="7"/>
  <c r="O389" i="7"/>
  <c r="O388" i="7"/>
  <c r="O387" i="7"/>
  <c r="O386" i="7"/>
  <c r="O385" i="7"/>
  <c r="O384" i="7"/>
  <c r="O383" i="7"/>
  <c r="O382" i="7"/>
  <c r="O381" i="7"/>
  <c r="O380" i="7"/>
  <c r="O379" i="7"/>
  <c r="O378" i="7"/>
  <c r="O377" i="7"/>
  <c r="O376" i="7"/>
  <c r="O375" i="7"/>
  <c r="O374" i="7"/>
  <c r="O373" i="7"/>
  <c r="O372" i="7"/>
  <c r="O371" i="7"/>
  <c r="O370" i="7"/>
  <c r="O369" i="7"/>
  <c r="O368" i="7"/>
  <c r="O367" i="7"/>
  <c r="O366" i="7"/>
  <c r="O365" i="7"/>
  <c r="O364" i="7"/>
  <c r="O363" i="7"/>
  <c r="O362" i="7"/>
  <c r="O361" i="7"/>
  <c r="O360" i="7"/>
  <c r="O359" i="7"/>
  <c r="O358" i="7"/>
  <c r="O357" i="7"/>
  <c r="O356" i="7"/>
  <c r="O355" i="7"/>
  <c r="O354" i="7"/>
  <c r="O353" i="7"/>
  <c r="O352" i="7"/>
  <c r="O351" i="7"/>
  <c r="O350" i="7"/>
  <c r="O349" i="7"/>
  <c r="O348" i="7"/>
  <c r="O347" i="7"/>
  <c r="O346" i="7"/>
  <c r="O345" i="7"/>
  <c r="O344" i="7"/>
  <c r="O343" i="7"/>
  <c r="O342" i="7"/>
  <c r="O341" i="7"/>
  <c r="O340" i="7"/>
  <c r="O339" i="7"/>
  <c r="O338" i="7"/>
  <c r="O337" i="7"/>
  <c r="O336" i="7"/>
  <c r="O335" i="7"/>
  <c r="O334" i="7"/>
  <c r="O333" i="7"/>
  <c r="O332" i="7"/>
  <c r="O331" i="7"/>
  <c r="O330" i="7"/>
  <c r="O329" i="7"/>
  <c r="O328" i="7"/>
  <c r="O327" i="7"/>
  <c r="O326" i="7"/>
  <c r="O325" i="7"/>
  <c r="O324" i="7"/>
  <c r="O323" i="7"/>
  <c r="O322" i="7"/>
  <c r="O321" i="7"/>
  <c r="O320" i="7"/>
  <c r="O319" i="7"/>
  <c r="O318" i="7"/>
  <c r="O317" i="7"/>
  <c r="O316" i="7"/>
  <c r="O315" i="7"/>
  <c r="O314" i="7"/>
  <c r="O313" i="7"/>
  <c r="O312" i="7"/>
  <c r="O311" i="7"/>
  <c r="O310" i="7"/>
  <c r="O309" i="7"/>
  <c r="O308" i="7"/>
  <c r="O307" i="7"/>
  <c r="O306" i="7"/>
  <c r="O305" i="7"/>
  <c r="O304" i="7"/>
  <c r="O303" i="7"/>
  <c r="O302" i="7"/>
  <c r="O301" i="7"/>
  <c r="O300" i="7"/>
  <c r="O299" i="7"/>
  <c r="O298" i="7"/>
  <c r="O297" i="7"/>
  <c r="O296" i="7"/>
  <c r="O295" i="7"/>
  <c r="O294" i="7"/>
  <c r="O293" i="7"/>
  <c r="O292" i="7"/>
  <c r="O291" i="7"/>
  <c r="O290" i="7"/>
  <c r="O289" i="7"/>
  <c r="O288" i="7"/>
  <c r="O287" i="7"/>
  <c r="O286" i="7"/>
  <c r="O285" i="7"/>
  <c r="O284" i="7"/>
  <c r="O283" i="7"/>
  <c r="O282" i="7"/>
  <c r="O281" i="7"/>
  <c r="O280" i="7"/>
  <c r="O279" i="7"/>
  <c r="O278" i="7"/>
  <c r="O277" i="7"/>
  <c r="O276" i="7"/>
  <c r="O275" i="7"/>
  <c r="O274" i="7"/>
  <c r="O273" i="7"/>
  <c r="O272" i="7"/>
  <c r="O271" i="7"/>
  <c r="O270" i="7"/>
  <c r="O269" i="7"/>
  <c r="O268" i="7"/>
  <c r="O267" i="7"/>
  <c r="O266" i="7"/>
  <c r="O265" i="7"/>
  <c r="O264" i="7"/>
  <c r="O263" i="7"/>
  <c r="O262" i="7"/>
  <c r="O261" i="7"/>
  <c r="O260" i="7"/>
  <c r="O259" i="7"/>
  <c r="O258" i="7"/>
  <c r="O257" i="7"/>
  <c r="O256" i="7"/>
  <c r="O255" i="7"/>
  <c r="O254" i="7"/>
  <c r="O253" i="7"/>
  <c r="O252" i="7"/>
  <c r="O251" i="7"/>
  <c r="O250" i="7"/>
  <c r="O249" i="7"/>
  <c r="O248" i="7"/>
  <c r="O247" i="7"/>
  <c r="O246" i="7"/>
  <c r="O245" i="7"/>
  <c r="O244" i="7"/>
  <c r="O243" i="7"/>
  <c r="O242" i="7"/>
  <c r="O241" i="7"/>
  <c r="O240" i="7"/>
  <c r="O239" i="7"/>
  <c r="O238" i="7"/>
  <c r="O237" i="7"/>
  <c r="O236" i="7"/>
  <c r="O235" i="7"/>
  <c r="O234" i="7"/>
  <c r="O233" i="7"/>
  <c r="O232" i="7"/>
  <c r="O231" i="7"/>
  <c r="O230" i="7"/>
  <c r="O229" i="7"/>
  <c r="O228" i="7"/>
  <c r="O227" i="7"/>
  <c r="O226" i="7"/>
  <c r="O225" i="7"/>
  <c r="O224" i="7"/>
  <c r="O223" i="7"/>
  <c r="O222" i="7"/>
  <c r="O221" i="7"/>
  <c r="O220" i="7"/>
  <c r="O219" i="7"/>
  <c r="O218" i="7"/>
  <c r="O217" i="7"/>
  <c r="O216" i="7"/>
  <c r="O215" i="7"/>
  <c r="O214" i="7"/>
  <c r="O213" i="7"/>
  <c r="O212" i="7"/>
  <c r="O211" i="7"/>
  <c r="O210" i="7"/>
  <c r="O209" i="7"/>
  <c r="O208" i="7"/>
  <c r="O207" i="7"/>
  <c r="O206" i="7"/>
  <c r="O205" i="7"/>
  <c r="O204" i="7"/>
  <c r="O203" i="7"/>
  <c r="O202" i="7"/>
  <c r="O201" i="7"/>
  <c r="O200" i="7"/>
  <c r="O199" i="7"/>
  <c r="O198" i="7"/>
  <c r="O197" i="7"/>
  <c r="O196" i="7"/>
  <c r="O195" i="7"/>
  <c r="O194" i="7"/>
  <c r="O193" i="7"/>
  <c r="O192" i="7"/>
  <c r="O191" i="7"/>
  <c r="O190" i="7"/>
  <c r="O189" i="7"/>
  <c r="O188" i="7"/>
  <c r="O187" i="7"/>
  <c r="O186" i="7"/>
  <c r="O185" i="7"/>
  <c r="O184" i="7"/>
  <c r="O183" i="7"/>
  <c r="O182" i="7"/>
  <c r="O181" i="7"/>
  <c r="O180" i="7"/>
  <c r="O179" i="7"/>
  <c r="O178" i="7"/>
  <c r="O177" i="7"/>
  <c r="O176" i="7"/>
  <c r="O175" i="7"/>
  <c r="O174" i="7"/>
  <c r="O173" i="7"/>
  <c r="O172" i="7"/>
  <c r="O171" i="7"/>
  <c r="O170" i="7"/>
  <c r="O169" i="7"/>
  <c r="O168" i="7"/>
  <c r="O167" i="7"/>
  <c r="O166" i="7"/>
  <c r="O165" i="7"/>
  <c r="O164" i="7"/>
  <c r="O163" i="7"/>
  <c r="O162" i="7"/>
  <c r="O161" i="7"/>
  <c r="O160" i="7"/>
  <c r="O159" i="7"/>
  <c r="O158" i="7"/>
  <c r="O157" i="7"/>
  <c r="O156" i="7"/>
  <c r="O155" i="7"/>
  <c r="O154" i="7"/>
  <c r="O153" i="7"/>
  <c r="O152" i="7"/>
  <c r="O151" i="7"/>
  <c r="O150" i="7"/>
  <c r="O149" i="7"/>
  <c r="O148" i="7"/>
  <c r="O147" i="7"/>
  <c r="O146" i="7"/>
  <c r="O145" i="7"/>
  <c r="O144" i="7"/>
  <c r="O143" i="7"/>
  <c r="O142" i="7"/>
  <c r="O141" i="7"/>
  <c r="O140" i="7"/>
  <c r="O139" i="7"/>
  <c r="O138" i="7"/>
  <c r="O137" i="7"/>
  <c r="O13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V416" i="7"/>
  <c r="P416" i="7"/>
  <c r="D416" i="7"/>
  <c r="E7" i="3"/>
  <c r="H8" i="3"/>
  <c r="BN7" i="2"/>
  <c r="E73" i="4"/>
  <c r="A32" i="4"/>
  <c r="A72" i="4"/>
  <c r="A71" i="4"/>
  <c r="A70" i="4"/>
  <c r="A69" i="4"/>
  <c r="A68" i="4"/>
  <c r="A67" i="4"/>
  <c r="A66" i="4"/>
  <c r="A65" i="4"/>
  <c r="A64" i="4"/>
  <c r="A63" i="4"/>
  <c r="A62" i="4"/>
  <c r="A61" i="4"/>
  <c r="A60" i="4"/>
  <c r="A59" i="4"/>
  <c r="A58" i="4"/>
  <c r="A57" i="4"/>
  <c r="A56" i="4"/>
  <c r="A55" i="4"/>
  <c r="A54" i="4"/>
  <c r="A50" i="4"/>
  <c r="A49" i="4"/>
  <c r="A48" i="4"/>
  <c r="A47" i="4"/>
  <c r="A46" i="4"/>
  <c r="A45" i="4"/>
  <c r="A44" i="4"/>
  <c r="A43" i="4"/>
  <c r="A42" i="4"/>
  <c r="A41" i="4"/>
  <c r="A40" i="4"/>
  <c r="A39" i="4"/>
  <c r="A38" i="4"/>
  <c r="A37" i="4"/>
  <c r="A36" i="4"/>
  <c r="A35" i="4"/>
  <c r="A34" i="4"/>
  <c r="A33" i="4"/>
  <c r="A11" i="4"/>
  <c r="A12" i="4"/>
  <c r="A13" i="4"/>
  <c r="A14" i="4"/>
  <c r="A15" i="4"/>
  <c r="A16" i="4"/>
  <c r="A17" i="4"/>
  <c r="A18" i="4"/>
  <c r="A19" i="4"/>
  <c r="A20" i="4"/>
  <c r="A21" i="4"/>
  <c r="A22" i="4"/>
  <c r="A23" i="4"/>
  <c r="A24" i="4"/>
  <c r="A25" i="4"/>
  <c r="A26" i="4"/>
  <c r="A27" i="4"/>
  <c r="A28" i="4"/>
  <c r="A10" i="4"/>
  <c r="BK3" i="2"/>
  <c r="E51" i="4"/>
  <c r="AQ3" i="2"/>
  <c r="E29" i="4"/>
  <c r="W3" i="2"/>
  <c r="A7" i="4"/>
  <c r="B72" i="4"/>
  <c r="B70" i="4"/>
  <c r="K3" i="8"/>
  <c r="L3" i="8"/>
  <c r="J122" i="5"/>
  <c r="H122" i="5"/>
  <c r="F122" i="5"/>
  <c r="F61" i="5"/>
  <c r="F54" i="5"/>
  <c r="J54" i="5" s="1"/>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AA149" i="5"/>
  <c r="S44" i="6"/>
  <c r="AA147" i="5"/>
  <c r="S42" i="6"/>
  <c r="AA145" i="5"/>
  <c r="S40" i="6"/>
  <c r="AA144" i="5"/>
  <c r="S39" i="6"/>
  <c r="B23" i="9"/>
  <c r="EW7" i="5"/>
  <c r="A1" i="10"/>
  <c r="B22" i="9"/>
  <c r="E49" i="11"/>
  <c r="A51" i="3"/>
  <c r="A50" i="3"/>
  <c r="A49" i="3"/>
  <c r="A48" i="3"/>
  <c r="A45" i="3"/>
  <c r="A44" i="3"/>
  <c r="A43" i="3"/>
  <c r="A42" i="3"/>
  <c r="A39" i="3"/>
  <c r="A38" i="3"/>
  <c r="A35" i="3"/>
  <c r="A34" i="3"/>
  <c r="A33" i="3"/>
  <c r="A32" i="3"/>
  <c r="A31" i="3"/>
  <c r="A30" i="3"/>
  <c r="A26" i="3"/>
  <c r="A25" i="3"/>
  <c r="A24" i="3"/>
  <c r="A23" i="3"/>
  <c r="A22" i="3"/>
  <c r="A27" i="3"/>
  <c r="H36" i="3"/>
  <c r="CW7" i="2"/>
  <c r="G1" i="3"/>
  <c r="E31" i="11"/>
  <c r="E30" i="11"/>
  <c r="E32" i="11"/>
  <c r="A19" i="3"/>
  <c r="A20" i="3"/>
  <c r="D14" i="3"/>
  <c r="C14" i="3"/>
  <c r="B14" i="3"/>
  <c r="A14" i="3"/>
  <c r="D12" i="3"/>
  <c r="C12" i="3"/>
  <c r="B12" i="3"/>
  <c r="A12" i="3"/>
  <c r="D11" i="3"/>
  <c r="C11" i="3"/>
  <c r="B11" i="3"/>
  <c r="A11" i="3"/>
  <c r="D7" i="3"/>
  <c r="C7" i="3"/>
  <c r="B7" i="3"/>
  <c r="A7" i="3"/>
  <c r="BW7" i="2"/>
  <c r="H28" i="3"/>
  <c r="CP7" i="2"/>
  <c r="H52" i="3"/>
  <c r="DJ7" i="2"/>
  <c r="H46" i="3"/>
  <c r="DE7" i="2"/>
  <c r="H40" i="3"/>
  <c r="CZ7" i="2"/>
  <c r="H10" i="3"/>
  <c r="I10" i="3"/>
  <c r="J10" i="3"/>
  <c r="K10" i="3"/>
  <c r="G8" i="3"/>
  <c r="G11" i="3"/>
  <c r="G12" i="3"/>
  <c r="G13" i="3"/>
  <c r="G14" i="3"/>
  <c r="G15" i="3"/>
  <c r="G16" i="3"/>
  <c r="G17" i="3"/>
  <c r="G19" i="3"/>
  <c r="G20" i="3"/>
  <c r="G22" i="3"/>
  <c r="G23" i="3"/>
  <c r="G24" i="3"/>
  <c r="G25" i="3"/>
  <c r="G26" i="3"/>
  <c r="G27" i="3"/>
  <c r="G28" i="3"/>
  <c r="G30" i="3"/>
  <c r="G31" i="3"/>
  <c r="G32" i="3"/>
  <c r="G33" i="3"/>
  <c r="G34" i="3"/>
  <c r="G35" i="3"/>
  <c r="G36" i="3"/>
  <c r="G38" i="3"/>
  <c r="G39" i="3"/>
  <c r="G40" i="3"/>
  <c r="G42" i="3"/>
  <c r="G43" i="3"/>
  <c r="G44" i="3"/>
  <c r="G45" i="3"/>
  <c r="G46" i="3"/>
  <c r="G48" i="3"/>
  <c r="G49" i="3"/>
  <c r="G50" i="3"/>
  <c r="G51" i="3"/>
  <c r="G52" i="3"/>
  <c r="G53" i="3"/>
  <c r="C5" i="5"/>
  <c r="C4" i="5"/>
  <c r="D5" i="5"/>
  <c r="D4" i="5"/>
  <c r="E5" i="5"/>
  <c r="E4" i="5"/>
  <c r="F5" i="5"/>
  <c r="F4" i="5"/>
  <c r="G5" i="5"/>
  <c r="G4" i="5"/>
  <c r="H5" i="5"/>
  <c r="H4" i="5"/>
  <c r="I5" i="5"/>
  <c r="I4" i="5"/>
  <c r="K5" i="5"/>
  <c r="K4" i="5"/>
  <c r="M5" i="5"/>
  <c r="M4" i="5"/>
  <c r="N5" i="5"/>
  <c r="N4" i="5"/>
  <c r="O5" i="5"/>
  <c r="O4" i="5"/>
  <c r="Q5" i="5"/>
  <c r="Q4" i="5"/>
  <c r="S5" i="5"/>
  <c r="S4" i="5"/>
  <c r="U5" i="5"/>
  <c r="U4" i="5"/>
  <c r="V23" i="5"/>
  <c r="F42" i="11"/>
  <c r="F27" i="5"/>
  <c r="F31" i="5"/>
  <c r="F44" i="5"/>
  <c r="F71" i="5"/>
  <c r="F77" i="5"/>
  <c r="F82" i="5"/>
  <c r="F88" i="5"/>
  <c r="F117" i="5"/>
  <c r="H117" i="5"/>
  <c r="J117" i="5"/>
  <c r="J109" i="5"/>
  <c r="Q25" i="6"/>
  <c r="J110" i="5"/>
  <c r="Q26" i="6" s="1"/>
  <c r="J111" i="5"/>
  <c r="Q28" i="6" s="1"/>
  <c r="J112" i="5"/>
  <c r="Q27" i="6" s="1"/>
  <c r="J113" i="5"/>
  <c r="Q29" i="6"/>
  <c r="U183" i="5"/>
  <c r="U179" i="5"/>
  <c r="U180" i="5"/>
  <c r="U185" i="5"/>
  <c r="U194" i="5"/>
  <c r="U190" i="5"/>
  <c r="U191" i="5"/>
  <c r="U192" i="5"/>
  <c r="E1" i="8"/>
  <c r="F3" i="8"/>
  <c r="AW7" i="2"/>
  <c r="G3" i="8"/>
  <c r="AX7" i="2"/>
  <c r="H3" i="8"/>
  <c r="AY7" i="2"/>
  <c r="I3" i="8"/>
  <c r="AZ7" i="2"/>
  <c r="J3" i="8"/>
  <c r="BA7" i="2"/>
  <c r="E3" i="8"/>
  <c r="BB7" i="2"/>
  <c r="E61" i="11"/>
  <c r="R42" i="8"/>
  <c r="T42" i="8"/>
  <c r="V42" i="8"/>
  <c r="D44" i="8"/>
  <c r="D46" i="8"/>
  <c r="D48" i="8"/>
  <c r="D50" i="8"/>
  <c r="D52" i="8"/>
  <c r="R44" i="8"/>
  <c r="T44" i="8"/>
  <c r="V44" i="8"/>
  <c r="R46" i="8"/>
  <c r="T46" i="8"/>
  <c r="V46" i="8"/>
  <c r="R48" i="8"/>
  <c r="T48" i="8"/>
  <c r="V48" i="8"/>
  <c r="R50" i="8"/>
  <c r="T50" i="8"/>
  <c r="V50" i="8"/>
  <c r="R52" i="8"/>
  <c r="T52" i="8"/>
  <c r="V52" i="8"/>
  <c r="A1" i="9"/>
  <c r="D24" i="11"/>
  <c r="D25" i="11" s="1"/>
  <c r="E41" i="11"/>
  <c r="E42" i="11"/>
  <c r="E46" i="11"/>
  <c r="E62" i="11"/>
  <c r="B24" i="9"/>
  <c r="V244" i="5"/>
  <c r="H53" i="3"/>
  <c r="DK7" i="2"/>
  <c r="B20" i="3"/>
  <c r="B27" i="3"/>
  <c r="D27" i="3"/>
  <c r="B51" i="3"/>
  <c r="D51" i="3"/>
  <c r="H17" i="3"/>
  <c r="D20" i="3"/>
  <c r="CG7" i="2"/>
  <c r="AO5" i="2"/>
  <c r="R43" i="6"/>
  <c r="R48" i="6"/>
  <c r="S46" i="6"/>
  <c r="R46" i="6"/>
  <c r="R47" i="6"/>
  <c r="S58" i="6"/>
  <c r="R58" i="6"/>
  <c r="S45" i="6"/>
  <c r="R45" i="6"/>
  <c r="R41" i="6"/>
  <c r="S59" i="6"/>
  <c r="R59" i="6"/>
  <c r="R57" i="6"/>
  <c r="AP5" i="2"/>
  <c r="S47" i="6"/>
  <c r="S48" i="6"/>
  <c r="S41" i="6"/>
  <c r="S43" i="6"/>
  <c r="AQ5" i="2"/>
  <c r="S57" i="6"/>
  <c r="AR5" i="2"/>
  <c r="AC151" i="5"/>
  <c r="AC150" i="5"/>
  <c r="AC161" i="5"/>
  <c r="T212" i="5"/>
  <c r="T215" i="5"/>
  <c r="T214" i="5"/>
  <c r="T211" i="5"/>
  <c r="T216" i="5"/>
  <c r="CL10" i="5"/>
  <c r="BZ10" i="5"/>
  <c r="AC145" i="5"/>
  <c r="AC147" i="5"/>
  <c r="AC144" i="5"/>
  <c r="J44" i="5"/>
  <c r="O65" i="2"/>
  <c r="J88" i="5"/>
  <c r="J77" i="5"/>
  <c r="V187" i="5"/>
  <c r="E77" i="6"/>
  <c r="E84" i="6"/>
  <c r="BW10" i="5"/>
  <c r="CI10" i="5"/>
  <c r="J99" i="5"/>
  <c r="U14" i="8"/>
  <c r="T14" i="8"/>
  <c r="J82" i="5"/>
  <c r="J71" i="5"/>
  <c r="T226" i="5"/>
  <c r="J217" i="5"/>
  <c r="Y15" i="6"/>
  <c r="V197" i="5"/>
  <c r="V27" i="5"/>
  <c r="F46" i="11"/>
  <c r="J31" i="5"/>
  <c r="E99" i="6"/>
  <c r="W145" i="5"/>
  <c r="J61" i="5"/>
  <c r="E32" i="6"/>
  <c r="P9" i="13"/>
  <c r="D10" i="13" s="1"/>
  <c r="E53" i="6"/>
  <c r="I171" i="8"/>
  <c r="E15" i="6"/>
  <c r="E71" i="6"/>
  <c r="X7" i="5"/>
  <c r="BB10" i="5"/>
  <c r="W156" i="5"/>
  <c r="W155" i="5"/>
  <c r="W154" i="5"/>
  <c r="W153" i="5"/>
  <c r="W146" i="5"/>
  <c r="W158" i="5"/>
  <c r="W157" i="5"/>
  <c r="F101" i="5"/>
  <c r="F104" i="5" s="1"/>
  <c r="D196" i="5"/>
  <c r="EU7" i="5"/>
  <c r="E103" i="6"/>
  <c r="V206" i="5"/>
  <c r="V28" i="5"/>
  <c r="F47" i="11"/>
  <c r="W144" i="5"/>
  <c r="W152" i="5"/>
  <c r="J27" i="5"/>
  <c r="F33" i="5"/>
  <c r="G18" i="6"/>
  <c r="G20" i="6"/>
  <c r="T160" i="8"/>
  <c r="I159" i="8"/>
  <c r="E20" i="6"/>
  <c r="CC10" i="5"/>
  <c r="T213" i="5"/>
  <c r="W147" i="5"/>
  <c r="W148" i="5"/>
  <c r="W149" i="5"/>
  <c r="W150" i="5"/>
  <c r="W151" i="5"/>
  <c r="T15" i="8"/>
  <c r="F67" i="11" s="1"/>
  <c r="J227" i="5"/>
  <c r="AR10" i="5"/>
  <c r="P146" i="5"/>
  <c r="P42" i="5"/>
  <c r="P92" i="5"/>
  <c r="P73" i="5"/>
  <c r="P148" i="5"/>
  <c r="P69" i="5"/>
  <c r="F46" i="5"/>
  <c r="J33" i="5"/>
  <c r="J46" i="5"/>
  <c r="EH7" i="5"/>
  <c r="T229" i="5"/>
  <c r="U229" i="5" s="1"/>
  <c r="AW10" i="5"/>
  <c r="G10" i="5"/>
  <c r="J118" i="5"/>
  <c r="Y7" i="5"/>
  <c r="V22" i="5"/>
  <c r="F41" i="11"/>
  <c r="R146" i="5"/>
  <c r="W7" i="5"/>
  <c r="F118" i="5"/>
  <c r="R73" i="5"/>
  <c r="R148" i="5"/>
  <c r="R92" i="5"/>
  <c r="R69" i="5"/>
  <c r="R42" i="5"/>
  <c r="AA7" i="5"/>
  <c r="J135" i="5"/>
  <c r="AR7" i="5"/>
  <c r="AS7" i="5"/>
  <c r="AA10" i="5"/>
  <c r="E40" i="11"/>
  <c r="G416" i="7" l="1"/>
  <c r="G417" i="7" s="1"/>
  <c r="U416" i="7"/>
  <c r="P19" i="12"/>
  <c r="Q19" i="12"/>
  <c r="P21" i="12"/>
  <c r="Q21" i="12"/>
  <c r="P23" i="12"/>
  <c r="Q23" i="12"/>
  <c r="P27" i="12"/>
  <c r="Q27" i="12"/>
  <c r="P29" i="12"/>
  <c r="Q29" i="12"/>
  <c r="P31" i="12"/>
  <c r="Q31" i="12"/>
  <c r="P33" i="12"/>
  <c r="Q33" i="12"/>
  <c r="P39" i="12"/>
  <c r="Q39" i="12"/>
  <c r="P41" i="12"/>
  <c r="Q41" i="12"/>
  <c r="P47" i="12"/>
  <c r="Q47" i="12"/>
  <c r="P49" i="12"/>
  <c r="Q49" i="12"/>
  <c r="P55" i="12"/>
  <c r="Q55" i="12"/>
  <c r="P57" i="12"/>
  <c r="Q57" i="12"/>
  <c r="P63" i="12"/>
  <c r="Q63" i="12"/>
  <c r="P65" i="12"/>
  <c r="Q65" i="12"/>
  <c r="P71" i="12"/>
  <c r="Q71" i="12"/>
  <c r="P73" i="12"/>
  <c r="Q73" i="12"/>
  <c r="P79" i="12"/>
  <c r="Q79" i="12"/>
  <c r="P81" i="12"/>
  <c r="Q81" i="12"/>
  <c r="P87" i="12"/>
  <c r="Q87" i="12"/>
  <c r="P89" i="12"/>
  <c r="Q89" i="12"/>
  <c r="P95" i="12"/>
  <c r="Q95" i="12"/>
  <c r="P97" i="12"/>
  <c r="Q97" i="12"/>
  <c r="P103" i="12"/>
  <c r="Q103" i="12"/>
  <c r="P105" i="12"/>
  <c r="Q105" i="12"/>
  <c r="P111" i="12"/>
  <c r="Q111" i="12"/>
  <c r="P113" i="12"/>
  <c r="Q113" i="12"/>
  <c r="P119" i="12"/>
  <c r="Q119" i="12"/>
  <c r="P121" i="12"/>
  <c r="Q121" i="12"/>
  <c r="P127" i="12"/>
  <c r="Q127" i="12"/>
  <c r="P129" i="12"/>
  <c r="Q129" i="12"/>
  <c r="P135" i="12"/>
  <c r="Q135" i="12"/>
  <c r="P137" i="12"/>
  <c r="Q137" i="12"/>
  <c r="P143" i="12"/>
  <c r="Q143" i="12"/>
  <c r="P145" i="12"/>
  <c r="Q145" i="12"/>
  <c r="P151" i="12"/>
  <c r="Q151" i="12"/>
  <c r="P153" i="12"/>
  <c r="Q153" i="12"/>
  <c r="P159" i="12"/>
  <c r="Q159" i="12"/>
  <c r="P161" i="12"/>
  <c r="Q161" i="12"/>
  <c r="P167" i="12"/>
  <c r="Q167" i="12"/>
  <c r="P169" i="12"/>
  <c r="Q169" i="12"/>
  <c r="P175" i="12"/>
  <c r="Q175" i="12"/>
  <c r="P177" i="12"/>
  <c r="Q177" i="12"/>
  <c r="P183" i="12"/>
  <c r="Q183" i="12"/>
  <c r="P185" i="12"/>
  <c r="Q185" i="12"/>
  <c r="P191" i="12"/>
  <c r="Q191" i="12"/>
  <c r="P193" i="12"/>
  <c r="Q193" i="12"/>
  <c r="P199" i="12"/>
  <c r="Q199" i="12"/>
  <c r="P201" i="12"/>
  <c r="Q201" i="12"/>
  <c r="P207" i="12"/>
  <c r="Q207" i="12"/>
  <c r="P209" i="12"/>
  <c r="Q209" i="12"/>
  <c r="P215" i="12"/>
  <c r="Q215" i="12"/>
  <c r="P217" i="12"/>
  <c r="Q217" i="12"/>
  <c r="P223" i="12"/>
  <c r="Q223" i="12"/>
  <c r="P225" i="12"/>
  <c r="Q225" i="12"/>
  <c r="P231" i="12"/>
  <c r="Q231" i="12"/>
  <c r="P233" i="12"/>
  <c r="Q233" i="12"/>
  <c r="P239" i="12"/>
  <c r="Q239" i="12"/>
  <c r="P241" i="12"/>
  <c r="Q241" i="12"/>
  <c r="P247" i="12"/>
  <c r="Q247" i="12"/>
  <c r="P249" i="12"/>
  <c r="Q249" i="12"/>
  <c r="P255" i="12"/>
  <c r="Q255" i="12"/>
  <c r="P257" i="12"/>
  <c r="Q257" i="12"/>
  <c r="P263" i="12"/>
  <c r="Q263" i="12"/>
  <c r="P265" i="12"/>
  <c r="Q265" i="12"/>
  <c r="P271" i="12"/>
  <c r="Q271" i="12"/>
  <c r="P273" i="12"/>
  <c r="Q273" i="12"/>
  <c r="P279" i="12"/>
  <c r="Q279" i="12"/>
  <c r="P281" i="12"/>
  <c r="Q281" i="12"/>
  <c r="P287" i="12"/>
  <c r="Q287" i="12"/>
  <c r="P289" i="12"/>
  <c r="Q289" i="12"/>
  <c r="P295" i="12"/>
  <c r="Q295" i="12"/>
  <c r="P297" i="12"/>
  <c r="Q297" i="12"/>
  <c r="P303" i="12"/>
  <c r="Q303" i="12"/>
  <c r="P305" i="12"/>
  <c r="Q305" i="12"/>
  <c r="P311" i="12"/>
  <c r="Q311" i="12"/>
  <c r="P313" i="12"/>
  <c r="Q313" i="12"/>
  <c r="P319" i="12"/>
  <c r="Q319" i="12"/>
  <c r="P321" i="12"/>
  <c r="Q321" i="12"/>
  <c r="P327" i="12"/>
  <c r="Q327" i="12"/>
  <c r="P329" i="12"/>
  <c r="Q329" i="12"/>
  <c r="P335" i="12"/>
  <c r="Q335" i="12"/>
  <c r="P337" i="12"/>
  <c r="Q337" i="12"/>
  <c r="P343" i="12"/>
  <c r="Q343" i="12"/>
  <c r="P345" i="12"/>
  <c r="Q345" i="12"/>
  <c r="P351" i="12"/>
  <c r="Q351" i="12"/>
  <c r="P353" i="12"/>
  <c r="Q353" i="12"/>
  <c r="P359" i="12"/>
  <c r="Q359" i="12"/>
  <c r="P361" i="12"/>
  <c r="Q361" i="12"/>
  <c r="P367" i="12"/>
  <c r="Q367" i="12"/>
  <c r="P369" i="12"/>
  <c r="Q369" i="12"/>
  <c r="P375" i="12"/>
  <c r="Q375" i="12"/>
  <c r="P377" i="12"/>
  <c r="Q377" i="12"/>
  <c r="P383" i="12"/>
  <c r="Q383" i="12"/>
  <c r="P385" i="12"/>
  <c r="Q385" i="12"/>
  <c r="P391" i="12"/>
  <c r="Q391" i="12"/>
  <c r="P393" i="12"/>
  <c r="Q393" i="12"/>
  <c r="P399" i="12"/>
  <c r="Q399" i="12"/>
  <c r="P401" i="12"/>
  <c r="Q401" i="12"/>
  <c r="P407" i="12"/>
  <c r="Q407" i="12"/>
  <c r="P409" i="12"/>
  <c r="Q409" i="12"/>
  <c r="P18" i="12"/>
  <c r="Q18" i="12"/>
  <c r="P20" i="12"/>
  <c r="Q20" i="12"/>
  <c r="P26" i="12"/>
  <c r="Q26" i="12"/>
  <c r="P28" i="12"/>
  <c r="Q28" i="12"/>
  <c r="P36" i="12"/>
  <c r="Q36" i="12"/>
  <c r="P38" i="12"/>
  <c r="Q38" i="12"/>
  <c r="P42" i="12"/>
  <c r="Q42" i="12"/>
  <c r="P44" i="12"/>
  <c r="Q44" i="12"/>
  <c r="P50" i="12"/>
  <c r="Q50" i="12"/>
  <c r="P52" i="12"/>
  <c r="Q52" i="12"/>
  <c r="P58" i="12"/>
  <c r="Q58" i="12"/>
  <c r="P60" i="12"/>
  <c r="Q60" i="12"/>
  <c r="P66" i="12"/>
  <c r="Q66" i="12"/>
  <c r="P68" i="12"/>
  <c r="Q68" i="12"/>
  <c r="P74" i="12"/>
  <c r="Q74" i="12"/>
  <c r="P76" i="12"/>
  <c r="Q76" i="12"/>
  <c r="P82" i="12"/>
  <c r="Q82" i="12"/>
  <c r="P84" i="12"/>
  <c r="Q84" i="12"/>
  <c r="P90" i="12"/>
  <c r="Q90" i="12"/>
  <c r="P92" i="12"/>
  <c r="Q92" i="12"/>
  <c r="P100" i="12"/>
  <c r="Q100" i="12"/>
  <c r="P102" i="12"/>
  <c r="Q102" i="12"/>
  <c r="P108" i="12"/>
  <c r="Q108" i="12"/>
  <c r="P110" i="12"/>
  <c r="Q110" i="12"/>
  <c r="P114" i="12"/>
  <c r="Q114" i="12"/>
  <c r="P116" i="12"/>
  <c r="Q116" i="12"/>
  <c r="P120" i="12"/>
  <c r="Q120" i="12"/>
  <c r="P122" i="12"/>
  <c r="Q122" i="12"/>
  <c r="P128" i="12"/>
  <c r="Q128" i="12"/>
  <c r="P130" i="12"/>
  <c r="Q130" i="12"/>
  <c r="P132" i="12"/>
  <c r="Q132" i="12"/>
  <c r="P136" i="12"/>
  <c r="Q136" i="12"/>
  <c r="P140" i="12"/>
  <c r="Q140" i="12"/>
  <c r="P142" i="12"/>
  <c r="Q142" i="12"/>
  <c r="P144" i="12"/>
  <c r="Q144" i="12"/>
  <c r="P148" i="12"/>
  <c r="Q148" i="12"/>
  <c r="P150" i="12"/>
  <c r="Q150" i="12"/>
  <c r="P152" i="12"/>
  <c r="Q152" i="12"/>
  <c r="P154" i="12"/>
  <c r="Q154" i="12"/>
  <c r="P158" i="12"/>
  <c r="Q158" i="12"/>
  <c r="P160" i="12"/>
  <c r="Q160" i="12"/>
  <c r="P164" i="12"/>
  <c r="Q164" i="12"/>
  <c r="P166" i="12"/>
  <c r="Q166" i="12"/>
  <c r="P168" i="12"/>
  <c r="Q168" i="12"/>
  <c r="P174" i="12"/>
  <c r="Q174" i="12"/>
  <c r="P176" i="12"/>
  <c r="Q176" i="12"/>
  <c r="P180" i="12"/>
  <c r="Q180" i="12"/>
  <c r="P184" i="12"/>
  <c r="Q184" i="12"/>
  <c r="P186" i="12"/>
  <c r="Q186" i="12"/>
  <c r="P192" i="12"/>
  <c r="Q192" i="12"/>
  <c r="P194" i="12"/>
  <c r="Q194" i="12"/>
  <c r="P196" i="12"/>
  <c r="Q196" i="12"/>
  <c r="P198" i="12"/>
  <c r="Q198" i="12"/>
  <c r="P200" i="12"/>
  <c r="Q200" i="12"/>
  <c r="P204" i="12"/>
  <c r="Q204" i="12"/>
  <c r="P206" i="12"/>
  <c r="Q206" i="12"/>
  <c r="P208" i="12"/>
  <c r="Q208" i="12"/>
  <c r="P212" i="12"/>
  <c r="Q212" i="12"/>
  <c r="P214" i="12"/>
  <c r="Q214" i="12"/>
  <c r="P216" i="12"/>
  <c r="Q216" i="12"/>
  <c r="P222" i="12"/>
  <c r="Q222" i="12"/>
  <c r="P224" i="12"/>
  <c r="Q224" i="12"/>
  <c r="P228" i="12"/>
  <c r="Q228" i="12"/>
  <c r="P230" i="12"/>
  <c r="Q230" i="12"/>
  <c r="P232" i="12"/>
  <c r="Q232" i="12"/>
  <c r="P236" i="12"/>
  <c r="Q236" i="12"/>
  <c r="P238" i="12"/>
  <c r="Q238" i="12"/>
  <c r="P240" i="12"/>
  <c r="Q240" i="12"/>
  <c r="P244" i="12"/>
  <c r="Q244" i="12"/>
  <c r="P248" i="12"/>
  <c r="Q248" i="12"/>
  <c r="P250" i="12"/>
  <c r="Q250" i="12"/>
  <c r="P254" i="12"/>
  <c r="Q254" i="12"/>
  <c r="P256" i="12"/>
  <c r="Q256" i="12"/>
  <c r="P260" i="12"/>
  <c r="Q260" i="12"/>
  <c r="P262" i="12"/>
  <c r="Q262" i="12"/>
  <c r="P264" i="12"/>
  <c r="Q264" i="12"/>
  <c r="P268" i="12"/>
  <c r="Q268" i="12"/>
  <c r="P270" i="12"/>
  <c r="Q270" i="12"/>
  <c r="P272" i="12"/>
  <c r="Q272" i="12"/>
  <c r="P274" i="12"/>
  <c r="Q274" i="12"/>
  <c r="P276" i="12"/>
  <c r="Q276" i="12"/>
  <c r="P280" i="12"/>
  <c r="Q280" i="12"/>
  <c r="P286" i="12"/>
  <c r="Q286" i="12"/>
  <c r="P288" i="12"/>
  <c r="Q288" i="12"/>
  <c r="P292" i="12"/>
  <c r="Q292" i="12"/>
  <c r="P296" i="12"/>
  <c r="Q296" i="12"/>
  <c r="P298" i="12"/>
  <c r="Q298" i="12"/>
  <c r="P300" i="12"/>
  <c r="Q300" i="12"/>
  <c r="P304" i="12"/>
  <c r="Q304" i="12"/>
  <c r="P308" i="12"/>
  <c r="Q308" i="12"/>
  <c r="P310" i="12"/>
  <c r="Q310" i="12"/>
  <c r="P312" i="12"/>
  <c r="Q312" i="12"/>
  <c r="P314" i="12"/>
  <c r="Q314" i="12"/>
  <c r="P318" i="12"/>
  <c r="Q318" i="12"/>
  <c r="P320" i="12"/>
  <c r="Q320" i="12"/>
  <c r="P324" i="12"/>
  <c r="Q324" i="12"/>
  <c r="P328" i="12"/>
  <c r="Q328" i="12"/>
  <c r="P330" i="12"/>
  <c r="Q330" i="12"/>
  <c r="P332" i="12"/>
  <c r="Q332" i="12"/>
  <c r="P336" i="12"/>
  <c r="Q336" i="12"/>
  <c r="P338" i="12"/>
  <c r="Q338" i="12"/>
  <c r="P340" i="12"/>
  <c r="Q340" i="12"/>
  <c r="P342" i="12"/>
  <c r="Q342" i="12"/>
  <c r="P344" i="12"/>
  <c r="Q344" i="12"/>
  <c r="P352" i="12"/>
  <c r="Q352" i="12"/>
  <c r="P354" i="12"/>
  <c r="Q354" i="12"/>
  <c r="P356" i="12"/>
  <c r="Q356" i="12"/>
  <c r="P358" i="12"/>
  <c r="Q358" i="12"/>
  <c r="P360" i="12"/>
  <c r="Q360" i="12"/>
  <c r="P364" i="12"/>
  <c r="Q364" i="12"/>
  <c r="P366" i="12"/>
  <c r="Q366" i="12"/>
  <c r="P368" i="12"/>
  <c r="Q368" i="12"/>
  <c r="P372" i="12"/>
  <c r="Q372" i="12"/>
  <c r="P376" i="12"/>
  <c r="Q376" i="12"/>
  <c r="P378" i="12"/>
  <c r="Q378" i="12"/>
  <c r="P384" i="12"/>
  <c r="Q384" i="12"/>
  <c r="P386" i="12"/>
  <c r="Q386" i="12"/>
  <c r="P388" i="12"/>
  <c r="Q388" i="12"/>
  <c r="P392" i="12"/>
  <c r="Q392" i="12"/>
  <c r="P396" i="12"/>
  <c r="Q396" i="12"/>
  <c r="P398" i="12"/>
  <c r="Q398" i="12"/>
  <c r="P400" i="12"/>
  <c r="Q400" i="12"/>
  <c r="P404" i="12"/>
  <c r="Q404" i="12"/>
  <c r="P406" i="12"/>
  <c r="Q406" i="12"/>
  <c r="P408" i="12"/>
  <c r="Q408" i="12"/>
  <c r="P410" i="12"/>
  <c r="Q410" i="12"/>
  <c r="P187" i="12"/>
  <c r="P30" i="12"/>
  <c r="P316" i="12"/>
  <c r="P188" i="12"/>
  <c r="E36" i="6"/>
  <c r="I15" i="10"/>
  <c r="D73" i="2"/>
  <c r="O64" i="2"/>
  <c r="O70" i="2"/>
  <c r="O67" i="2"/>
  <c r="K15" i="9"/>
  <c r="O69" i="2"/>
  <c r="R73" i="2"/>
  <c r="O73" i="2" s="1"/>
  <c r="O72" i="2"/>
  <c r="T11" i="8"/>
  <c r="F65" i="11" s="1"/>
  <c r="F26" i="11"/>
  <c r="O68" i="2"/>
  <c r="C73" i="2"/>
  <c r="O71" i="2"/>
  <c r="A8" i="10" s="1"/>
  <c r="G115" i="6"/>
  <c r="E21" i="6"/>
  <c r="E33" i="6" s="1"/>
  <c r="E143" i="6" s="1"/>
  <c r="M5" i="12"/>
  <c r="P380" i="12"/>
  <c r="P252" i="12"/>
  <c r="P124" i="12"/>
  <c r="P412" i="12"/>
  <c r="P284" i="12"/>
  <c r="P156" i="12"/>
  <c r="P348" i="12"/>
  <c r="P220" i="12"/>
  <c r="P10" i="13"/>
  <c r="P11" i="13" s="1"/>
  <c r="D12" i="13" s="1"/>
  <c r="P12" i="13"/>
  <c r="D11" i="13"/>
  <c r="P267" i="12"/>
  <c r="P315" i="12"/>
  <c r="P59" i="12"/>
  <c r="F57" i="13"/>
  <c r="G52" i="13" s="1"/>
  <c r="P395" i="12"/>
  <c r="P139" i="12"/>
  <c r="F24" i="13"/>
  <c r="F30" i="13"/>
  <c r="P379" i="12"/>
  <c r="P251" i="12"/>
  <c r="P123" i="12"/>
  <c r="P331" i="12"/>
  <c r="P203" i="12"/>
  <c r="P75" i="12"/>
  <c r="P32" i="12"/>
  <c r="P64" i="12"/>
  <c r="P80" i="12"/>
  <c r="P88" i="12"/>
  <c r="P96" i="12"/>
  <c r="P115" i="12"/>
  <c r="P131" i="12"/>
  <c r="P147" i="12"/>
  <c r="P211" i="12"/>
  <c r="P259" i="12"/>
  <c r="P275" i="12"/>
  <c r="P291" i="12"/>
  <c r="P307" i="12"/>
  <c r="P339" i="12"/>
  <c r="P387" i="12"/>
  <c r="P403" i="12"/>
  <c r="P411" i="12"/>
  <c r="P347" i="12"/>
  <c r="P283" i="12"/>
  <c r="P172" i="12"/>
  <c r="P40" i="12"/>
  <c r="P48" i="12"/>
  <c r="P56" i="12"/>
  <c r="P72" i="12"/>
  <c r="P104" i="12"/>
  <c r="P112" i="12"/>
  <c r="P15" i="12"/>
  <c r="P35" i="12"/>
  <c r="P51" i="12"/>
  <c r="P67" i="12"/>
  <c r="P83" i="12"/>
  <c r="P99" i="12"/>
  <c r="P163" i="12"/>
  <c r="P179" i="12"/>
  <c r="P195" i="12"/>
  <c r="P227" i="12"/>
  <c r="P243" i="12"/>
  <c r="P323" i="12"/>
  <c r="P355" i="12"/>
  <c r="P371" i="12"/>
  <c r="P219" i="12"/>
  <c r="P155" i="12"/>
  <c r="P91" i="12"/>
  <c r="P363" i="12"/>
  <c r="P299" i="12"/>
  <c r="P235" i="12"/>
  <c r="P171" i="12"/>
  <c r="P107" i="12"/>
  <c r="P43" i="12"/>
  <c r="P22" i="12"/>
  <c r="F53" i="11"/>
  <c r="P370" i="12"/>
  <c r="P334" i="12"/>
  <c r="P306" i="12"/>
  <c r="P282" i="12"/>
  <c r="P226" i="12"/>
  <c r="P190" i="12"/>
  <c r="P182" i="12"/>
  <c r="P162" i="12"/>
  <c r="P146" i="12"/>
  <c r="P138" i="12"/>
  <c r="P98" i="12"/>
  <c r="P70" i="12"/>
  <c r="P62" i="12"/>
  <c r="P54" i="12"/>
  <c r="P46" i="12"/>
  <c r="P382" i="12"/>
  <c r="P362" i="12"/>
  <c r="P322" i="12"/>
  <c r="P290" i="12"/>
  <c r="P246" i="12"/>
  <c r="P210" i="12"/>
  <c r="P202" i="12"/>
  <c r="P178" i="12"/>
  <c r="P170" i="12"/>
  <c r="P134" i="12"/>
  <c r="P126" i="12"/>
  <c r="P78" i="12"/>
  <c r="P34" i="12"/>
  <c r="P25" i="12"/>
  <c r="P17" i="12"/>
  <c r="P402" i="12"/>
  <c r="P390" i="12"/>
  <c r="P346" i="12"/>
  <c r="P326" i="12"/>
  <c r="P294" i="12"/>
  <c r="P118" i="12"/>
  <c r="P106" i="12"/>
  <c r="P94" i="12"/>
  <c r="P86" i="12"/>
  <c r="P414" i="12"/>
  <c r="P394" i="12"/>
  <c r="P374" i="12"/>
  <c r="P350" i="12"/>
  <c r="P302" i="12"/>
  <c r="P278" i="12"/>
  <c r="P266" i="12"/>
  <c r="P258" i="12"/>
  <c r="P242" i="12"/>
  <c r="P234" i="12"/>
  <c r="P218" i="12"/>
  <c r="O416" i="7"/>
  <c r="N416" i="7" s="1"/>
  <c r="F55" i="11" s="1"/>
  <c r="F416" i="12"/>
  <c r="B5" i="5"/>
  <c r="C6" i="9"/>
  <c r="D18" i="5"/>
  <c r="F49" i="11" s="1"/>
  <c r="S11" i="2"/>
  <c r="EG7" i="5"/>
  <c r="J101" i="5"/>
  <c r="EI7" i="5" s="1"/>
  <c r="E105" i="6"/>
  <c r="Q15" i="6" s="1"/>
  <c r="J104" i="5"/>
  <c r="J116" i="5" s="1"/>
  <c r="J119" i="5" s="1"/>
  <c r="F10" i="5"/>
  <c r="G7" i="2"/>
  <c r="L18" i="5"/>
  <c r="C13" i="5" s="1"/>
  <c r="P17" i="5"/>
  <c r="D27" i="11"/>
  <c r="D26" i="11"/>
  <c r="A12" i="10"/>
  <c r="E74" i="11"/>
  <c r="Q16" i="2"/>
  <c r="F27" i="11" s="1"/>
  <c r="K12" i="9"/>
  <c r="F14" i="2"/>
  <c r="I18" i="10"/>
  <c r="B153" i="8"/>
  <c r="A30" i="9" s="1"/>
  <c r="S60" i="6"/>
  <c r="S65" i="6" s="1"/>
  <c r="A3" i="2"/>
  <c r="J11" i="9"/>
  <c r="J15" i="9"/>
  <c r="J19" i="9"/>
  <c r="H10" i="10"/>
  <c r="H14" i="10"/>
  <c r="H18" i="10"/>
  <c r="C152" i="8"/>
  <c r="B29" i="9" s="1"/>
  <c r="C156" i="8"/>
  <c r="B33" i="9" s="1"/>
  <c r="C165" i="8"/>
  <c r="B37" i="9" s="1"/>
  <c r="C169" i="8"/>
  <c r="B41" i="9" s="1"/>
  <c r="A10" i="5"/>
  <c r="J13" i="9"/>
  <c r="J17" i="9"/>
  <c r="H8" i="10"/>
  <c r="H12" i="10"/>
  <c r="H16" i="10"/>
  <c r="O25" i="2"/>
  <c r="C154" i="8"/>
  <c r="B31" i="9" s="1"/>
  <c r="C163" i="8"/>
  <c r="B35" i="9" s="1"/>
  <c r="C167" i="8"/>
  <c r="B39" i="9" s="1"/>
  <c r="Q60" i="6"/>
  <c r="Q65" i="6" s="1"/>
  <c r="E147" i="6" s="1"/>
  <c r="A7" i="5"/>
  <c r="C42" i="8"/>
  <c r="J14" i="9"/>
  <c r="J18" i="9"/>
  <c r="H9" i="10"/>
  <c r="H13" i="10"/>
  <c r="H17" i="10"/>
  <c r="C151" i="8"/>
  <c r="B28" i="9" s="1"/>
  <c r="C155" i="8"/>
  <c r="B32" i="9" s="1"/>
  <c r="C164" i="8"/>
  <c r="B36" i="9" s="1"/>
  <c r="C168" i="8"/>
  <c r="B40" i="9" s="1"/>
  <c r="B15" i="7"/>
  <c r="E5" i="12"/>
  <c r="E5" i="6"/>
  <c r="Q5" i="6" s="1"/>
  <c r="B5" i="10"/>
  <c r="I4" i="3"/>
  <c r="D4" i="13"/>
  <c r="E85" i="6"/>
  <c r="H10" i="8"/>
  <c r="G6" i="11"/>
  <c r="Y5" i="6"/>
  <c r="F3" i="4"/>
  <c r="E4" i="7"/>
  <c r="R60" i="6"/>
  <c r="N161" i="5"/>
  <c r="CI13" i="5"/>
  <c r="Z161" i="5"/>
  <c r="L162" i="5"/>
  <c r="F34" i="13"/>
  <c r="P24" i="12"/>
  <c r="P16" i="12"/>
  <c r="P413" i="12"/>
  <c r="P405" i="12"/>
  <c r="P397" i="12"/>
  <c r="P389" i="12"/>
  <c r="P381" i="12"/>
  <c r="P373" i="12"/>
  <c r="P365" i="12"/>
  <c r="P357" i="12"/>
  <c r="P349" i="12"/>
  <c r="P341" i="12"/>
  <c r="P333" i="12"/>
  <c r="P325" i="12"/>
  <c r="P317" i="12"/>
  <c r="P309" i="12"/>
  <c r="P301" i="12"/>
  <c r="P293" i="12"/>
  <c r="P285" i="12"/>
  <c r="P277" i="12"/>
  <c r="P269" i="12"/>
  <c r="P261" i="12"/>
  <c r="P253" i="12"/>
  <c r="P245" i="12"/>
  <c r="P237" i="12"/>
  <c r="P229" i="12"/>
  <c r="P221" i="12"/>
  <c r="P213" i="12"/>
  <c r="P205" i="12"/>
  <c r="P197" i="12"/>
  <c r="P189" i="12"/>
  <c r="P181" i="12"/>
  <c r="P173" i="12"/>
  <c r="P165" i="12"/>
  <c r="P157" i="12"/>
  <c r="P149" i="12"/>
  <c r="P141" i="12"/>
  <c r="P133" i="12"/>
  <c r="P125" i="12"/>
  <c r="P117" i="12"/>
  <c r="P109" i="12"/>
  <c r="P101" i="12"/>
  <c r="P93" i="12"/>
  <c r="P85" i="12"/>
  <c r="P77" i="12"/>
  <c r="P69" i="12"/>
  <c r="P61" i="12"/>
  <c r="P53" i="12"/>
  <c r="P45" i="12"/>
  <c r="P37" i="12"/>
  <c r="D416" i="12"/>
  <c r="G49" i="13"/>
  <c r="F27" i="13"/>
  <c r="F46" i="13"/>
  <c r="G46" i="13" s="1"/>
  <c r="F26" i="13"/>
  <c r="N4" i="13"/>
  <c r="B54" i="2"/>
  <c r="Q14" i="2" s="1"/>
  <c r="F25" i="11" s="1"/>
  <c r="G55" i="13"/>
  <c r="F29" i="13"/>
  <c r="F28" i="13"/>
  <c r="F32" i="13"/>
  <c r="F22" i="13"/>
  <c r="F33" i="13"/>
  <c r="F31" i="13"/>
  <c r="F25" i="13"/>
  <c r="B15" i="2"/>
  <c r="Q12" i="2" s="1"/>
  <c r="F23" i="11" s="1"/>
  <c r="E22" i="11" s="1"/>
  <c r="K13" i="9"/>
  <c r="I17" i="10"/>
  <c r="K18" i="9"/>
  <c r="I8" i="10"/>
  <c r="B3" i="2"/>
  <c r="B156" i="8"/>
  <c r="A33" i="9" s="1"/>
  <c r="B167" i="8"/>
  <c r="A39" i="9" s="1"/>
  <c r="B13" i="5"/>
  <c r="I13" i="10"/>
  <c r="I16" i="10"/>
  <c r="B157" i="8"/>
  <c r="A34" i="9" s="1"/>
  <c r="B151" i="8"/>
  <c r="A28" i="9" s="1"/>
  <c r="K20" i="9"/>
  <c r="I10" i="10"/>
  <c r="B42" i="8"/>
  <c r="B48" i="8" s="1"/>
  <c r="B152" i="8"/>
  <c r="A29" i="9" s="1"/>
  <c r="B163" i="8"/>
  <c r="A35" i="9" s="1"/>
  <c r="I11" i="10"/>
  <c r="K16" i="9"/>
  <c r="I14" i="10"/>
  <c r="K19" i="9"/>
  <c r="K11" i="9"/>
  <c r="B165" i="8"/>
  <c r="A37" i="9" s="1"/>
  <c r="B166" i="8"/>
  <c r="A38" i="9" s="1"/>
  <c r="B155" i="8"/>
  <c r="A32" i="9" s="1"/>
  <c r="I9" i="10"/>
  <c r="K14" i="9"/>
  <c r="I12" i="10"/>
  <c r="K17" i="9"/>
  <c r="P25" i="2"/>
  <c r="B169" i="8"/>
  <c r="A41" i="9" s="1"/>
  <c r="B154" i="8"/>
  <c r="A31" i="9" s="1"/>
  <c r="B164" i="8"/>
  <c r="A36" i="9" s="1"/>
  <c r="B7" i="5"/>
  <c r="D181" i="5"/>
  <c r="Q30" i="6"/>
  <c r="F116" i="5"/>
  <c r="F119" i="5" s="1"/>
  <c r="F120" i="5" s="1"/>
  <c r="F137" i="5" s="1"/>
  <c r="G41" i="13" l="1"/>
  <c r="G38" i="13"/>
  <c r="A15" i="10"/>
  <c r="A16" i="10"/>
  <c r="A17" i="10"/>
  <c r="A18" i="10"/>
  <c r="A9" i="10"/>
  <c r="A13" i="10"/>
  <c r="A14" i="10"/>
  <c r="A11" i="10"/>
  <c r="A10" i="10"/>
  <c r="F54" i="11"/>
  <c r="U417" i="7"/>
  <c r="Q11" i="6"/>
  <c r="Q13" i="6" s="1"/>
  <c r="Q17" i="6" s="1"/>
  <c r="Q33" i="6" s="1"/>
  <c r="Q49" i="6" s="1"/>
  <c r="G44" i="13"/>
  <c r="G54" i="13"/>
  <c r="G53" i="13"/>
  <c r="G51" i="13"/>
  <c r="G50" i="13"/>
  <c r="G57" i="13"/>
  <c r="G56" i="13"/>
  <c r="P13" i="13"/>
  <c r="D13" i="13"/>
  <c r="Q416" i="12"/>
  <c r="F59" i="11" s="1"/>
  <c r="N417" i="7"/>
  <c r="P416" i="12"/>
  <c r="F58" i="11" s="1"/>
  <c r="E57" i="11" s="1"/>
  <c r="L21" i="5"/>
  <c r="L51" i="5" s="1"/>
  <c r="L103" i="5" s="1"/>
  <c r="N18" i="5"/>
  <c r="CP13" i="5" s="1"/>
  <c r="E117" i="6"/>
  <c r="E118" i="6" s="1"/>
  <c r="E124" i="6" s="1"/>
  <c r="E139" i="6" s="1"/>
  <c r="J120" i="5"/>
  <c r="AB7" i="5" s="1"/>
  <c r="V29" i="5"/>
  <c r="F48" i="11" s="1"/>
  <c r="V24" i="5"/>
  <c r="F43" i="11" s="1"/>
  <c r="E144" i="6"/>
  <c r="H10" i="5"/>
  <c r="D186" i="5"/>
  <c r="D187" i="5" s="1"/>
  <c r="R52" i="5"/>
  <c r="E146" i="6"/>
  <c r="K69" i="6" s="1"/>
  <c r="F15" i="2"/>
  <c r="E5" i="2"/>
  <c r="C52" i="8"/>
  <c r="C46" i="8"/>
  <c r="C44" i="8"/>
  <c r="C48" i="8"/>
  <c r="C50" i="8"/>
  <c r="L24" i="5"/>
  <c r="GG13" i="5"/>
  <c r="AA161" i="5"/>
  <c r="N162" i="5"/>
  <c r="FZ13" i="5"/>
  <c r="CJ13" i="5"/>
  <c r="R65" i="6"/>
  <c r="G42" i="13"/>
  <c r="G43" i="13"/>
  <c r="G39" i="13"/>
  <c r="G45" i="13"/>
  <c r="G40" i="13"/>
  <c r="B50" i="8"/>
  <c r="F35" i="13"/>
  <c r="G29" i="13" s="1"/>
  <c r="B46" i="8"/>
  <c r="B44" i="8"/>
  <c r="B52" i="8"/>
  <c r="AA12" i="6"/>
  <c r="D184" i="5"/>
  <c r="Z7" i="5"/>
  <c r="Z10" i="5"/>
  <c r="J137" i="5"/>
  <c r="E417" i="7" l="1"/>
  <c r="E52" i="11" s="1"/>
  <c r="EH7" i="2" s="1"/>
  <c r="D16" i="13"/>
  <c r="D15" i="13"/>
  <c r="G28" i="13"/>
  <c r="D13" i="5"/>
  <c r="N21" i="5"/>
  <c r="R109" i="5" s="1"/>
  <c r="V26" i="5"/>
  <c r="F45" i="11" s="1"/>
  <c r="EO7" i="5"/>
  <c r="R56" i="5"/>
  <c r="R60" i="5"/>
  <c r="I138" i="6"/>
  <c r="F17" i="2"/>
  <c r="F5" i="2"/>
  <c r="F13" i="5"/>
  <c r="F13" i="6"/>
  <c r="F15" i="6" s="1"/>
  <c r="F21" i="6" s="1"/>
  <c r="N24" i="5"/>
  <c r="L27" i="5"/>
  <c r="L33" i="5" s="1"/>
  <c r="L108" i="5"/>
  <c r="L111" i="5"/>
  <c r="L100" i="5"/>
  <c r="L92" i="5"/>
  <c r="L73" i="5"/>
  <c r="L56" i="5"/>
  <c r="L59" i="5"/>
  <c r="L53" i="5"/>
  <c r="L38" i="5"/>
  <c r="L125" i="5"/>
  <c r="L130" i="5"/>
  <c r="L133" i="5"/>
  <c r="L148" i="5"/>
  <c r="L154" i="5"/>
  <c r="L164" i="5"/>
  <c r="L94" i="5"/>
  <c r="L84" i="5"/>
  <c r="L79" i="5"/>
  <c r="L75" i="5"/>
  <c r="L64" i="5"/>
  <c r="L70" i="5"/>
  <c r="AZ13" i="5"/>
  <c r="L139" i="5"/>
  <c r="L112" i="5"/>
  <c r="L86" i="5"/>
  <c r="L57" i="5"/>
  <c r="L36" i="5"/>
  <c r="L42" i="5"/>
  <c r="L123" i="5"/>
  <c r="L128" i="5"/>
  <c r="L131" i="5"/>
  <c r="L152" i="5"/>
  <c r="L155" i="5"/>
  <c r="L96" i="5"/>
  <c r="L85" i="5"/>
  <c r="L81" i="5"/>
  <c r="L76" i="5"/>
  <c r="L65" i="5"/>
  <c r="L109" i="5"/>
  <c r="L113" i="5"/>
  <c r="L93" i="5"/>
  <c r="P66" i="5"/>
  <c r="L60" i="5"/>
  <c r="L40" i="5"/>
  <c r="L43" i="5"/>
  <c r="L126" i="5"/>
  <c r="L129" i="5"/>
  <c r="L134" i="5"/>
  <c r="L150" i="5"/>
  <c r="L153" i="5"/>
  <c r="L165" i="5"/>
  <c r="L97" i="5"/>
  <c r="L87" i="5"/>
  <c r="L67" i="5"/>
  <c r="L107" i="5"/>
  <c r="L58" i="5"/>
  <c r="L41" i="5"/>
  <c r="L74" i="5"/>
  <c r="L80" i="5"/>
  <c r="L124" i="5"/>
  <c r="L146" i="5"/>
  <c r="L98" i="5"/>
  <c r="L68" i="5"/>
  <c r="L110" i="5"/>
  <c r="L95" i="5"/>
  <c r="L52" i="5"/>
  <c r="L132" i="5"/>
  <c r="L163" i="5"/>
  <c r="L91" i="5"/>
  <c r="L63" i="5"/>
  <c r="L69" i="5"/>
  <c r="L37" i="5"/>
  <c r="L127" i="5"/>
  <c r="L151" i="5"/>
  <c r="L102" i="5"/>
  <c r="GA13" i="5"/>
  <c r="G33" i="13"/>
  <c r="G35" i="13"/>
  <c r="G27" i="13"/>
  <c r="G34" i="13"/>
  <c r="G26" i="13"/>
  <c r="G25" i="13"/>
  <c r="G32" i="13"/>
  <c r="G31" i="13"/>
  <c r="G24" i="13"/>
  <c r="G30" i="13"/>
  <c r="G22" i="13"/>
  <c r="EM7" i="5"/>
  <c r="AA15" i="6"/>
  <c r="AB10" i="5"/>
  <c r="I173" i="8"/>
  <c r="J140" i="5"/>
  <c r="V16" i="8"/>
  <c r="U16" i="8" s="1"/>
  <c r="T16" i="8" s="1"/>
  <c r="F68" i="11" s="1"/>
  <c r="L114" i="5" l="1"/>
  <c r="E11" i="13"/>
  <c r="E10" i="13"/>
  <c r="E8" i="13"/>
  <c r="E12" i="13"/>
  <c r="E9" i="13"/>
  <c r="E15" i="13"/>
  <c r="E14" i="13"/>
  <c r="E13" i="13"/>
  <c r="R57" i="5"/>
  <c r="R53" i="5"/>
  <c r="R155" i="5"/>
  <c r="R133" i="5"/>
  <c r="R154" i="5"/>
  <c r="R86" i="5"/>
  <c r="R130" i="5"/>
  <c r="R125" i="5"/>
  <c r="R134" i="5"/>
  <c r="R151" i="5"/>
  <c r="R153" i="5"/>
  <c r="R95" i="5"/>
  <c r="R129" i="5"/>
  <c r="R110" i="5"/>
  <c r="R100" i="5"/>
  <c r="R107" i="5"/>
  <c r="R59" i="5"/>
  <c r="CQ13" i="5"/>
  <c r="R80" i="5"/>
  <c r="R124" i="5"/>
  <c r="R58" i="5"/>
  <c r="R152" i="5"/>
  <c r="R163" i="5"/>
  <c r="R128" i="5"/>
  <c r="R126" i="5"/>
  <c r="R111" i="5"/>
  <c r="R139" i="5"/>
  <c r="R123" i="5"/>
  <c r="R26" i="5"/>
  <c r="R132" i="5"/>
  <c r="R127" i="5"/>
  <c r="R131" i="5"/>
  <c r="R165" i="5"/>
  <c r="N51" i="5"/>
  <c r="R150" i="5"/>
  <c r="R164" i="5"/>
  <c r="R108" i="5"/>
  <c r="R93" i="5"/>
  <c r="L135" i="5"/>
  <c r="F18" i="2"/>
  <c r="EJ5" i="2"/>
  <c r="L99" i="5"/>
  <c r="AO13" i="5"/>
  <c r="F91" i="6"/>
  <c r="N41" i="5"/>
  <c r="K13" i="5"/>
  <c r="F29" i="6"/>
  <c r="N150" i="5"/>
  <c r="CA13" i="5"/>
  <c r="Z150" i="5"/>
  <c r="AG13" i="5"/>
  <c r="F70" i="6"/>
  <c r="AM13" i="5"/>
  <c r="N86" i="5"/>
  <c r="F82" i="6"/>
  <c r="BZ13" i="5"/>
  <c r="N148" i="5"/>
  <c r="Z148" i="5"/>
  <c r="BC13" i="5"/>
  <c r="N108" i="5"/>
  <c r="R21" i="6"/>
  <c r="F25" i="6"/>
  <c r="I13" i="5"/>
  <c r="N37" i="5"/>
  <c r="N151" i="5"/>
  <c r="Z151" i="5"/>
  <c r="CB13" i="5"/>
  <c r="V13" i="5"/>
  <c r="F56" i="6"/>
  <c r="L71" i="5"/>
  <c r="N52" i="5"/>
  <c r="F43" i="6"/>
  <c r="O13" i="5"/>
  <c r="L54" i="5"/>
  <c r="AV13" i="5"/>
  <c r="F98" i="6"/>
  <c r="AE13" i="5"/>
  <c r="F68" i="6"/>
  <c r="Z13" i="5"/>
  <c r="F60" i="6"/>
  <c r="CD13" i="5"/>
  <c r="N153" i="5"/>
  <c r="FU13" i="5" s="1"/>
  <c r="N126" i="5"/>
  <c r="EZ13" i="5" s="1"/>
  <c r="BM13" i="5"/>
  <c r="N66" i="5"/>
  <c r="R66" i="5" s="1"/>
  <c r="F59" i="6"/>
  <c r="Y13" i="5"/>
  <c r="X13" i="5"/>
  <c r="F58" i="6"/>
  <c r="AT13" i="5"/>
  <c r="F96" i="6"/>
  <c r="N128" i="5"/>
  <c r="FB13" i="5" s="1"/>
  <c r="BO13" i="5"/>
  <c r="R13" i="5"/>
  <c r="N57" i="5"/>
  <c r="F49" i="6"/>
  <c r="AH13" i="5"/>
  <c r="F74" i="6"/>
  <c r="L82" i="5"/>
  <c r="N154" i="5"/>
  <c r="CE13" i="5"/>
  <c r="Z154" i="5"/>
  <c r="N125" i="5"/>
  <c r="BL13" i="5"/>
  <c r="R24" i="6"/>
  <c r="N56" i="5"/>
  <c r="F48" i="6"/>
  <c r="L61" i="5"/>
  <c r="Q13" i="5"/>
  <c r="N111" i="5"/>
  <c r="BF13" i="5"/>
  <c r="R28" i="6"/>
  <c r="N95" i="5"/>
  <c r="F95" i="6"/>
  <c r="AS13" i="5"/>
  <c r="F83" i="6"/>
  <c r="AN13" i="5"/>
  <c r="F93" i="6"/>
  <c r="N93" i="5"/>
  <c r="AQ13" i="5"/>
  <c r="BJ13" i="5"/>
  <c r="N123" i="5"/>
  <c r="R22" i="6"/>
  <c r="F80" i="6"/>
  <c r="L88" i="5"/>
  <c r="AK13" i="5"/>
  <c r="N38" i="5"/>
  <c r="G26" i="6" s="1"/>
  <c r="F26" i="6"/>
  <c r="L77" i="5"/>
  <c r="F67" i="6"/>
  <c r="AD13" i="5"/>
  <c r="N73" i="5"/>
  <c r="N163" i="5"/>
  <c r="Z163" i="5"/>
  <c r="CK13" i="5"/>
  <c r="L166" i="5"/>
  <c r="N110" i="5"/>
  <c r="BE13" i="5"/>
  <c r="R26" i="6"/>
  <c r="N124" i="5"/>
  <c r="BK13" i="5"/>
  <c r="R23" i="6"/>
  <c r="N58" i="5"/>
  <c r="F50" i="6"/>
  <c r="S13" i="5"/>
  <c r="AU13" i="5"/>
  <c r="F97" i="6"/>
  <c r="N134" i="5"/>
  <c r="FH13" i="5" s="1"/>
  <c r="BU13" i="5"/>
  <c r="F27" i="6"/>
  <c r="N40" i="5"/>
  <c r="J13" i="5"/>
  <c r="N113" i="5"/>
  <c r="R29" i="6"/>
  <c r="BH13" i="5"/>
  <c r="AJ13" i="5"/>
  <c r="F76" i="6"/>
  <c r="N152" i="5"/>
  <c r="CC13" i="5"/>
  <c r="Z152" i="5"/>
  <c r="N42" i="5"/>
  <c r="F30" i="6"/>
  <c r="L13" i="5"/>
  <c r="N112" i="5"/>
  <c r="R27" i="6"/>
  <c r="BG13" i="5"/>
  <c r="W13" i="5"/>
  <c r="F57" i="6"/>
  <c r="F94" i="6"/>
  <c r="AR13" i="5"/>
  <c r="N133" i="5"/>
  <c r="FG13" i="5" s="1"/>
  <c r="BT13" i="5"/>
  <c r="F44" i="6"/>
  <c r="N53" i="5"/>
  <c r="P13" i="5"/>
  <c r="AP13" i="5"/>
  <c r="N92" i="5"/>
  <c r="F92" i="6"/>
  <c r="BN13" i="5"/>
  <c r="N127" i="5"/>
  <c r="FA13" i="5" s="1"/>
  <c r="N146" i="5"/>
  <c r="BY13" i="5"/>
  <c r="Z146" i="5"/>
  <c r="L156" i="5"/>
  <c r="M13" i="5"/>
  <c r="F31" i="6"/>
  <c r="N43" i="5"/>
  <c r="CF13" i="5"/>
  <c r="N155" i="5"/>
  <c r="FW13" i="5" s="1"/>
  <c r="AC13" i="5"/>
  <c r="F63" i="6"/>
  <c r="G13" i="6"/>
  <c r="G15" i="6" s="1"/>
  <c r="G21" i="6" s="1"/>
  <c r="CS13" i="5"/>
  <c r="N27" i="5"/>
  <c r="N33" i="5" s="1"/>
  <c r="AY13" i="5"/>
  <c r="F103" i="6"/>
  <c r="N69" i="5"/>
  <c r="AB13" i="5"/>
  <c r="F62" i="6"/>
  <c r="N132" i="5"/>
  <c r="FF13" i="5" s="1"/>
  <c r="BS13" i="5"/>
  <c r="AA13" i="5"/>
  <c r="F61" i="6"/>
  <c r="AI13" i="5"/>
  <c r="N80" i="5"/>
  <c r="F75" i="6"/>
  <c r="N107" i="5"/>
  <c r="R20" i="6"/>
  <c r="BB13" i="5"/>
  <c r="Z165" i="5"/>
  <c r="CM13" i="5"/>
  <c r="N165" i="5"/>
  <c r="BP13" i="5"/>
  <c r="N129" i="5"/>
  <c r="FC13" i="5" s="1"/>
  <c r="N60" i="5"/>
  <c r="U13" i="5"/>
  <c r="F52" i="6"/>
  <c r="N109" i="5"/>
  <c r="BD13" i="5"/>
  <c r="R25" i="6"/>
  <c r="F81" i="6"/>
  <c r="AL13" i="5"/>
  <c r="BR13" i="5"/>
  <c r="N131" i="5"/>
  <c r="FE13" i="5" s="1"/>
  <c r="F24" i="6"/>
  <c r="N36" i="5"/>
  <c r="L44" i="5"/>
  <c r="L46" i="5" s="1"/>
  <c r="H13" i="5"/>
  <c r="N139" i="5"/>
  <c r="R32" i="6"/>
  <c r="BX13" i="5"/>
  <c r="AF13" i="5"/>
  <c r="F69" i="6"/>
  <c r="N164" i="5"/>
  <c r="CL13" i="5"/>
  <c r="Z164" i="5"/>
  <c r="N130" i="5"/>
  <c r="FD13" i="5" s="1"/>
  <c r="BQ13" i="5"/>
  <c r="N59" i="5"/>
  <c r="T13" i="5"/>
  <c r="F51" i="6"/>
  <c r="AW13" i="5"/>
  <c r="F101" i="6"/>
  <c r="N100" i="5"/>
  <c r="E145" i="6"/>
  <c r="N114" i="5" l="1"/>
  <c r="N81" i="5"/>
  <c r="N68" i="5"/>
  <c r="N96" i="5"/>
  <c r="N75" i="5"/>
  <c r="N97" i="5"/>
  <c r="N74" i="5"/>
  <c r="N87" i="5"/>
  <c r="N94" i="5"/>
  <c r="N64" i="5"/>
  <c r="N98" i="5"/>
  <c r="N67" i="5"/>
  <c r="N85" i="5"/>
  <c r="N91" i="5"/>
  <c r="N63" i="5"/>
  <c r="N70" i="5"/>
  <c r="N102" i="5"/>
  <c r="N65" i="5"/>
  <c r="N84" i="5"/>
  <c r="N79" i="5"/>
  <c r="N76" i="5"/>
  <c r="N103" i="5"/>
  <c r="EM13" i="5" s="1"/>
  <c r="N135" i="5"/>
  <c r="F71" i="6"/>
  <c r="F77" i="6"/>
  <c r="F32" i="6"/>
  <c r="F33" i="6" s="1"/>
  <c r="R11" i="6" s="1"/>
  <c r="R13" i="6" s="1"/>
  <c r="F53" i="6"/>
  <c r="F64" i="6"/>
  <c r="R30" i="6"/>
  <c r="F84" i="6"/>
  <c r="F45" i="6"/>
  <c r="F99" i="6"/>
  <c r="F19" i="2"/>
  <c r="EK5" i="2"/>
  <c r="L101" i="5"/>
  <c r="L104" i="5" s="1"/>
  <c r="N13" i="5"/>
  <c r="L118" i="5"/>
  <c r="DG13" i="5"/>
  <c r="G51" i="6"/>
  <c r="G27" i="6"/>
  <c r="CW13" i="5"/>
  <c r="DF13" i="5"/>
  <c r="G50" i="6"/>
  <c r="AA154" i="5"/>
  <c r="FV13" i="5"/>
  <c r="EP13" i="5"/>
  <c r="S21" i="6"/>
  <c r="FK13" i="5"/>
  <c r="S32" i="6"/>
  <c r="CU13" i="5"/>
  <c r="N44" i="5"/>
  <c r="N46" i="5" s="1"/>
  <c r="G24" i="6"/>
  <c r="EQ13" i="5"/>
  <c r="S25" i="6"/>
  <c r="S20" i="6"/>
  <c r="EO13" i="5"/>
  <c r="CZ13" i="5"/>
  <c r="G31" i="6"/>
  <c r="S27" i="6"/>
  <c r="ET13" i="5"/>
  <c r="S23" i="6"/>
  <c r="EX13" i="5"/>
  <c r="F146" i="6"/>
  <c r="F147" i="6"/>
  <c r="DQ13" i="5"/>
  <c r="G67" i="6"/>
  <c r="DL13" i="5"/>
  <c r="G59" i="6"/>
  <c r="FS13" i="5"/>
  <c r="AA151" i="5"/>
  <c r="FP13" i="5"/>
  <c r="AA148" i="5"/>
  <c r="CX13" i="5"/>
  <c r="G29" i="6"/>
  <c r="G93" i="6"/>
  <c r="ED13" i="5"/>
  <c r="GC13" i="5"/>
  <c r="AA164" i="5"/>
  <c r="AA165" i="5"/>
  <c r="GD13" i="5"/>
  <c r="DO13" i="5"/>
  <c r="G62" i="6"/>
  <c r="AA146" i="5"/>
  <c r="FN13" i="5"/>
  <c r="N156" i="5"/>
  <c r="DC13" i="5"/>
  <c r="G44" i="6"/>
  <c r="FT13" i="5"/>
  <c r="AA152" i="5"/>
  <c r="EW13" i="5"/>
  <c r="S22" i="6"/>
  <c r="EY13" i="5"/>
  <c r="S24" i="6"/>
  <c r="DE13" i="5"/>
  <c r="G49" i="6"/>
  <c r="G43" i="6"/>
  <c r="N54" i="5"/>
  <c r="DB13" i="5"/>
  <c r="CV13" i="5"/>
  <c r="G25" i="6"/>
  <c r="FR13" i="5"/>
  <c r="AA150" i="5"/>
  <c r="DV13" i="5"/>
  <c r="G75" i="6"/>
  <c r="G101" i="6"/>
  <c r="EJ13" i="5"/>
  <c r="DH13" i="5"/>
  <c r="G52" i="6"/>
  <c r="EC13" i="5"/>
  <c r="G92" i="6"/>
  <c r="CY13" i="5"/>
  <c r="G30" i="6"/>
  <c r="EU13" i="5"/>
  <c r="S29" i="6"/>
  <c r="ER13" i="5"/>
  <c r="S26" i="6"/>
  <c r="GB13" i="5"/>
  <c r="AA163" i="5"/>
  <c r="N166" i="5"/>
  <c r="EF13" i="5"/>
  <c r="G95" i="6"/>
  <c r="ES13" i="5"/>
  <c r="S28" i="6"/>
  <c r="G48" i="6"/>
  <c r="N61" i="5"/>
  <c r="DD13" i="5"/>
  <c r="DZ13" i="5"/>
  <c r="G82" i="6"/>
  <c r="K68" i="6"/>
  <c r="I137" i="6"/>
  <c r="I139" i="6" s="1"/>
  <c r="W19" i="6" s="1"/>
  <c r="BI7" i="5"/>
  <c r="N82" i="5" l="1"/>
  <c r="N99" i="5"/>
  <c r="N71" i="5"/>
  <c r="DT13" i="5"/>
  <c r="G70" i="6"/>
  <c r="EL13" i="5"/>
  <c r="G103" i="6"/>
  <c r="DY13" i="5"/>
  <c r="G81" i="6"/>
  <c r="G94" i="6"/>
  <c r="EE13" i="5"/>
  <c r="DS13" i="5"/>
  <c r="G69" i="6"/>
  <c r="DU13" i="5"/>
  <c r="G74" i="6"/>
  <c r="G63" i="6"/>
  <c r="DP13" i="5"/>
  <c r="G60" i="6"/>
  <c r="DM13" i="5"/>
  <c r="EA13" i="5"/>
  <c r="G83" i="6"/>
  <c r="G96" i="6"/>
  <c r="EG13" i="5"/>
  <c r="DX13" i="5"/>
  <c r="G80" i="6"/>
  <c r="G84" i="6" s="1"/>
  <c r="DI13" i="5"/>
  <c r="G56" i="6"/>
  <c r="EI13" i="5"/>
  <c r="G98" i="6"/>
  <c r="DR13" i="5"/>
  <c r="G68" i="6"/>
  <c r="G61" i="6"/>
  <c r="DN13" i="5"/>
  <c r="N88" i="5"/>
  <c r="N77" i="5"/>
  <c r="G58" i="6"/>
  <c r="DK13" i="5"/>
  <c r="EB13" i="5"/>
  <c r="G91" i="6"/>
  <c r="DJ13" i="5"/>
  <c r="G57" i="6"/>
  <c r="EH13" i="5"/>
  <c r="G97" i="6"/>
  <c r="G76" i="6"/>
  <c r="DW13" i="5"/>
  <c r="G45" i="6"/>
  <c r="F105" i="6"/>
  <c r="F117" i="6" s="1"/>
  <c r="F118" i="6" s="1"/>
  <c r="F124" i="6" s="1"/>
  <c r="F139" i="6" s="1"/>
  <c r="G53" i="6"/>
  <c r="S30" i="6"/>
  <c r="G32" i="6"/>
  <c r="G33" i="6" s="1"/>
  <c r="S11" i="6" s="1"/>
  <c r="S13" i="6" s="1"/>
  <c r="F143" i="6"/>
  <c r="AX13" i="5"/>
  <c r="F20" i="2"/>
  <c r="EL5" i="2"/>
  <c r="N118" i="5"/>
  <c r="DA13" i="5"/>
  <c r="BA13" i="5"/>
  <c r="L116" i="5"/>
  <c r="G146" i="6"/>
  <c r="G147" i="6"/>
  <c r="J174" i="5"/>
  <c r="N101" i="5" l="1"/>
  <c r="N104" i="5" s="1"/>
  <c r="G71" i="6"/>
  <c r="G99" i="6"/>
  <c r="G64" i="6"/>
  <c r="G77" i="6"/>
  <c r="G143" i="6"/>
  <c r="F144" i="6"/>
  <c r="R15" i="6"/>
  <c r="R17" i="6" s="1"/>
  <c r="R33" i="6" s="1"/>
  <c r="R49" i="6" s="1"/>
  <c r="L119" i="5"/>
  <c r="L120" i="5" s="1"/>
  <c r="F21" i="2"/>
  <c r="M5" i="2"/>
  <c r="AQ10" i="5"/>
  <c r="T174" i="5"/>
  <c r="U174" i="5" s="1"/>
  <c r="V25" i="5" s="1"/>
  <c r="F44" i="11" s="1"/>
  <c r="BI13" i="5" l="1"/>
  <c r="L137" i="5"/>
  <c r="EK13" i="5"/>
  <c r="G105" i="6"/>
  <c r="S15" i="6" s="1"/>
  <c r="S17" i="6" s="1"/>
  <c r="S33" i="6" s="1"/>
  <c r="S49" i="6" s="1"/>
  <c r="BV13" i="5"/>
  <c r="N5" i="2"/>
  <c r="F22" i="2"/>
  <c r="N116" i="5"/>
  <c r="EN13" i="5"/>
  <c r="G117" i="6" l="1"/>
  <c r="G118" i="6" s="1"/>
  <c r="G124" i="6" s="1"/>
  <c r="G139" i="6" s="1"/>
  <c r="G144" i="6"/>
  <c r="BW13" i="5"/>
  <c r="N119" i="5"/>
  <c r="N120" i="5" s="1"/>
  <c r="O5" i="2"/>
  <c r="F23" i="2"/>
  <c r="EV13" i="5" l="1"/>
  <c r="N137" i="5"/>
  <c r="L140" i="5"/>
  <c r="F145" i="6" s="1"/>
  <c r="F24" i="2"/>
  <c r="F25" i="2" s="1"/>
  <c r="F26" i="2" s="1"/>
  <c r="F27" i="2" s="1"/>
  <c r="P5" i="2"/>
  <c r="L158" i="5" l="1"/>
  <c r="L169" i="5" s="1"/>
  <c r="L174" i="5" s="1"/>
  <c r="CO13" i="5" s="1"/>
  <c r="FI13" i="5"/>
  <c r="FJ13" i="5"/>
  <c r="N140" i="5"/>
  <c r="F28" i="2"/>
  <c r="Q5" i="2"/>
  <c r="CG13" i="5" l="1"/>
  <c r="N158" i="5"/>
  <c r="G145" i="6"/>
  <c r="R5" i="2"/>
  <c r="F29" i="2"/>
  <c r="N169" i="5" l="1"/>
  <c r="N174" i="5" s="1"/>
  <c r="GF13" i="5" s="1"/>
  <c r="FX13" i="5"/>
  <c r="F30" i="2"/>
  <c r="S5" i="2"/>
  <c r="F31" i="2" l="1"/>
  <c r="T5" i="2"/>
  <c r="F32" i="2" l="1"/>
  <c r="U5" i="2"/>
  <c r="V5" i="2" l="1"/>
  <c r="F33" i="2"/>
  <c r="W5" i="2" l="1"/>
  <c r="F34" i="2"/>
  <c r="F35" i="2" l="1"/>
  <c r="X5" i="2"/>
  <c r="F36" i="2" l="1"/>
  <c r="Y5" i="2"/>
  <c r="F38" i="2" l="1"/>
  <c r="F41" i="2" s="1"/>
  <c r="Z5" i="2"/>
  <c r="F42" i="2" l="1"/>
  <c r="H5" i="2"/>
  <c r="BC5" i="2" l="1"/>
  <c r="F43" i="2"/>
  <c r="I5" i="2" l="1"/>
  <c r="F44" i="2"/>
  <c r="J5" i="2" l="1"/>
  <c r="F45" i="2"/>
  <c r="K5" i="2" l="1"/>
  <c r="F46" i="2"/>
  <c r="F47" i="2" l="1"/>
  <c r="L5" i="2"/>
  <c r="F48" i="2" l="1"/>
  <c r="BD5" i="2"/>
  <c r="F49" i="2" l="1"/>
  <c r="F50" i="2" s="1"/>
  <c r="F51" i="2" s="1"/>
  <c r="F52" i="2" s="1"/>
  <c r="F53" i="2" s="1"/>
  <c r="F54" i="2" s="1"/>
  <c r="F55" i="2" s="1"/>
  <c r="G5" i="2"/>
  <c r="AA5" i="2" l="1"/>
  <c r="F56" i="2"/>
  <c r="F57" i="2" l="1"/>
  <c r="AB5" i="2"/>
  <c r="F58" i="2" l="1"/>
  <c r="AS5" i="2"/>
  <c r="AT5" i="2" l="1"/>
  <c r="F59" i="2"/>
  <c r="AU5" i="2" l="1"/>
  <c r="F60" i="2"/>
  <c r="AV5" i="2" l="1"/>
  <c r="F61" i="2"/>
  <c r="F64" i="2" l="1"/>
  <c r="F65" i="2" s="1"/>
  <c r="F66" i="2" s="1"/>
  <c r="F67" i="2" s="1"/>
  <c r="F68" i="2" s="1"/>
  <c r="F69" i="2" s="1"/>
  <c r="F70" i="2" s="1"/>
  <c r="F71" i="2" s="1"/>
  <c r="F72" i="2" s="1"/>
  <c r="F73" i="2" s="1"/>
  <c r="F78" i="2" s="1"/>
  <c r="F79" i="2" l="1"/>
  <c r="EN5" i="2"/>
  <c r="F80" i="2" l="1"/>
  <c r="F81" i="2" s="1"/>
  <c r="F82" i="2" s="1"/>
  <c r="AD5" i="2"/>
  <c r="AF5" i="2" l="1"/>
  <c r="F83" i="2"/>
  <c r="F84" i="2" l="1"/>
  <c r="AH5" i="2"/>
  <c r="AJ5" i="2" l="1"/>
  <c r="F85" i="2"/>
  <c r="F86" i="2" l="1"/>
  <c r="AL5" i="2"/>
  <c r="AN5" i="2" l="1"/>
  <c r="F87" i="2"/>
  <c r="EP5" i="2" s="1"/>
</calcChain>
</file>

<file path=xl/comments1.xml><?xml version="1.0" encoding="utf-8"?>
<comments xmlns="http://schemas.openxmlformats.org/spreadsheetml/2006/main">
  <authors>
    <author>mmcloone</author>
  </authors>
  <commentList>
    <comment ref="B7" authorId="0" shapeId="0">
      <text>
        <r>
          <rPr>
            <b/>
            <sz val="9"/>
            <color indexed="81"/>
            <rFont val="Tahoma"/>
            <family val="2"/>
          </rPr>
          <t>mmcloone:</t>
        </r>
        <r>
          <rPr>
            <sz val="9"/>
            <color indexed="81"/>
            <rFont val="Tahoma"/>
            <family val="2"/>
          </rPr>
          <t xml:space="preserve">
formula here, don't override!
</t>
        </r>
      </text>
    </comment>
  </commentList>
</comments>
</file>

<file path=xl/comments2.xml><?xml version="1.0" encoding="utf-8"?>
<comments xmlns="http://schemas.openxmlformats.org/spreadsheetml/2006/main">
  <authors>
    <author>MMcLoone</author>
  </authors>
  <commentList>
    <comment ref="B27" authorId="0" shapeId="0">
      <text>
        <r>
          <rPr>
            <b/>
            <sz val="8"/>
            <color indexed="81"/>
            <rFont val="Tahoma"/>
            <family val="2"/>
          </rPr>
          <t>MMcLoone:</t>
        </r>
        <r>
          <rPr>
            <sz val="8"/>
            <color indexed="81"/>
            <rFont val="Tahoma"/>
            <family val="2"/>
          </rPr>
          <t xml:space="preserve">
formula appears to have been corrupted</t>
        </r>
      </text>
    </comment>
    <comment ref="B51" authorId="0" shapeId="0">
      <text>
        <r>
          <rPr>
            <b/>
            <sz val="8"/>
            <color indexed="81"/>
            <rFont val="Tahoma"/>
            <family val="2"/>
          </rPr>
          <t>MMcLoone:</t>
        </r>
        <r>
          <rPr>
            <sz val="8"/>
            <color indexed="81"/>
            <rFont val="Tahoma"/>
            <family val="2"/>
          </rPr>
          <t xml:space="preserve">
formula appears to have been corrupted</t>
        </r>
      </text>
    </comment>
  </commentList>
</comments>
</file>

<file path=xl/sharedStrings.xml><?xml version="1.0" encoding="utf-8"?>
<sst xmlns="http://schemas.openxmlformats.org/spreadsheetml/2006/main" count="4198" uniqueCount="2654">
  <si>
    <t>1. TOTAL INCOME RECEIVED:</t>
  </si>
  <si>
    <t>2. TOTAL OPERATING EXPENSES:</t>
  </si>
  <si>
    <t>3. NET OPERATING INCOME:</t>
  </si>
  <si>
    <t>Building &amp; Improvements</t>
  </si>
  <si>
    <t>Offsite Improvements</t>
  </si>
  <si>
    <t>Site Improvements</t>
  </si>
  <si>
    <t>Land Improvements</t>
  </si>
  <si>
    <t>Furniture, Fixtures &amp; Equipment</t>
  </si>
  <si>
    <t>RR_Elgbl_non-cap_TOT</t>
  </si>
  <si>
    <t>TotOpExp-New_Res</t>
  </si>
  <si>
    <t>TotOpExp-New_Cmmrcl</t>
  </si>
  <si>
    <t>TotOpExp-New_TOT</t>
  </si>
  <si>
    <t>Lender1Other_desc</t>
  </si>
  <si>
    <t>Lender1Other_Res</t>
  </si>
  <si>
    <t>Lender1Other_Cmmrcl</t>
  </si>
  <si>
    <t>Lender2Other_desc</t>
  </si>
  <si>
    <t>Lender2Other_Res</t>
  </si>
  <si>
    <t>Lender2Other_Cmmrcl</t>
  </si>
  <si>
    <t xml:space="preserve">               Interest Paid</t>
  </si>
  <si>
    <t xml:space="preserve">               Other Amount (describe to the right)</t>
  </si>
  <si>
    <t>Lender1 - Principal Paid (provide lender name to the right)</t>
  </si>
  <si>
    <t>Lender2 - Principal Paid (provide lender name to the right)</t>
  </si>
  <si>
    <t>Lender3 - Principal Paid (provide lender name to the right)</t>
  </si>
  <si>
    <t>Lender4 - Principal Paid (provide lender name to the right)</t>
  </si>
  <si>
    <t>Beginning Balance:</t>
  </si>
  <si>
    <r>
      <t>Beginning Balance</t>
    </r>
    <r>
      <rPr>
        <sz val="11"/>
        <rFont val="Arial"/>
        <family val="2"/>
      </rPr>
      <t>:</t>
    </r>
  </si>
  <si>
    <t>AffirmativeMktg</t>
  </si>
  <si>
    <r>
      <t>“Rent Supplement”</t>
    </r>
    <r>
      <rPr>
        <sz val="14"/>
        <rFont val="Arial"/>
        <family val="2"/>
      </rPr>
      <t xml:space="preserve"> = Tenant receives a supplemental rent payment from an outside agency.</t>
    </r>
  </si>
  <si>
    <r>
      <t>“HOME TBA”</t>
    </r>
    <r>
      <rPr>
        <sz val="14"/>
        <rFont val="Arial"/>
        <family val="2"/>
      </rPr>
      <t xml:space="preserve"> = Tenant receives assistance from a HOME-funded rental assistance program.</t>
    </r>
  </si>
  <si>
    <r>
      <t>“LOSP”</t>
    </r>
    <r>
      <rPr>
        <sz val="14"/>
        <rFont val="Arial"/>
        <family val="2"/>
      </rPr>
      <t xml:space="preserve"> = The unit receives a subsidy through the City's Local Operating Subsidy Program.</t>
    </r>
  </si>
  <si>
    <t>CONTACT INFO</t>
  </si>
  <si>
    <t>IDENTIFYING INFO</t>
  </si>
  <si>
    <t>POPULATION SERVED</t>
  </si>
  <si>
    <t>Narrative</t>
  </si>
  <si>
    <t>Num4BR</t>
  </si>
  <si>
    <t>Property Manager Name</t>
  </si>
  <si>
    <r>
      <t>How many</t>
    </r>
    <r>
      <rPr>
        <b/>
        <sz val="14"/>
        <rFont val="Arial"/>
        <family val="2"/>
      </rPr>
      <t xml:space="preserve"> Health, Building or Housing Code Violations</t>
    </r>
    <r>
      <rPr>
        <sz val="14"/>
        <rFont val="Arial"/>
        <family val="2"/>
      </rPr>
      <t xml:space="preserve"> were open from </t>
    </r>
    <r>
      <rPr>
        <i/>
        <sz val="14"/>
        <rFont val="Arial"/>
        <family val="2"/>
      </rPr>
      <t>prior</t>
    </r>
    <r>
      <rPr>
        <sz val="14"/>
        <rFont val="Arial"/>
        <family val="2"/>
      </rPr>
      <t xml:space="preserve"> years?</t>
    </r>
  </si>
  <si>
    <t>5+BR</t>
  </si>
  <si>
    <t>Section 8 - Project-Based</t>
  </si>
  <si>
    <t>Section 8 - Tenant Voucher</t>
  </si>
  <si>
    <t>VASH</t>
  </si>
  <si>
    <t>Rent Supplement</t>
  </si>
  <si>
    <t>HOME TBA</t>
  </si>
  <si>
    <r>
      <t xml:space="preserve">Total Operating Expenses plus debt service </t>
    </r>
    <r>
      <rPr>
        <sz val="11"/>
        <rFont val="Arial"/>
        <family val="2"/>
      </rPr>
      <t>(don't edit cell -- calculated)</t>
    </r>
  </si>
  <si>
    <t>Other Revenue</t>
  </si>
  <si>
    <t>Enter ProjKey below!</t>
  </si>
  <si>
    <t>Enter AMR Yr below</t>
  </si>
  <si>
    <t>asset mgr name</t>
  </si>
  <si>
    <t>amr prep name</t>
  </si>
  <si>
    <t>amr prep email</t>
  </si>
  <si>
    <t>asset mgr email</t>
  </si>
  <si>
    <t>ppt mgr name</t>
  </si>
  <si>
    <t>ppt mgr email</t>
  </si>
  <si>
    <t>ppt suprvsr name</t>
  </si>
  <si>
    <t>ppt suprvsr email</t>
  </si>
  <si>
    <t># 4</t>
  </si>
  <si>
    <t>b. any advertising, direct mailings, emailings and web postings that were done; and</t>
  </si>
  <si>
    <t>Overview of Federal (HOME and CDBG) Program Income</t>
  </si>
  <si>
    <t>COLUMN</t>
  </si>
  <si>
    <t>LOSP</t>
  </si>
  <si>
    <t>In the space below, list all current outstanding loans and grants that are secured by the project.  List each obligation in the order of lien position, from highest to lowest.</t>
  </si>
  <si>
    <t>Lien Order</t>
  </si>
  <si>
    <t>Loan Amount</t>
  </si>
  <si>
    <t>Interest Rate</t>
  </si>
  <si>
    <t>Maturity Date</t>
  </si>
  <si>
    <t>Repayment Terms</t>
  </si>
  <si>
    <t>Monthly Debt Service Payment</t>
  </si>
  <si>
    <t>Number of Children under Age 18 in HH</t>
  </si>
  <si>
    <t>Acct Num</t>
  </si>
  <si>
    <t>Source</t>
  </si>
  <si>
    <t>TOTAL OPERATING EXPENSES:</t>
  </si>
  <si>
    <t xml:space="preserve">Reporting Period Start Date (m/d/yyyy) </t>
  </si>
  <si>
    <t>sub-total Maintenance Repair Expense:</t>
  </si>
  <si>
    <t>SUB-TOTAL OPERATING EXPENSES:</t>
  </si>
  <si>
    <r>
      <t xml:space="preserve">Supportive Services: </t>
    </r>
    <r>
      <rPr>
        <sz val="10"/>
        <rFont val="Arial"/>
        <family val="2"/>
      </rPr>
      <t>do not enter supportive services expenses if tracked in separate budget and not eligible to be counted against project income for residual receipts calculation.</t>
    </r>
  </si>
  <si>
    <t>ReplRsrv_AnnlDepActual</t>
  </si>
  <si>
    <t>Rental Income</t>
  </si>
  <si>
    <t>Other Income</t>
  </si>
  <si>
    <t>checker:</t>
  </si>
  <si>
    <t>INCM_RentalIncom_Resid</t>
  </si>
  <si>
    <t>INCM_TenantAssistance_Amount</t>
  </si>
  <si>
    <t>INCM_TenantAssit_Sources</t>
  </si>
  <si>
    <t>INCM_RentalIncome_Commercial</t>
  </si>
  <si>
    <t>INCM_VacLossHousingUnits</t>
  </si>
  <si>
    <t>INCM_VacLossCommercial</t>
  </si>
  <si>
    <t>INCM_ParkingSpaces</t>
  </si>
  <si>
    <t>INCM_ParkingSpaces_cmmercl</t>
  </si>
  <si>
    <t>INCM_MiscRentIncome</t>
  </si>
  <si>
    <t>INCM_MiscRentIncome_cmmercl</t>
  </si>
  <si>
    <t>INCM_SuppServices_Income</t>
  </si>
  <si>
    <t>INCM_SuppServices_Sources</t>
  </si>
  <si>
    <t>INCM_IntIncome_ProjOps</t>
  </si>
  <si>
    <t>INCM_IntIncome_ProjOps_cmmercl</t>
  </si>
  <si>
    <t>INCM_LaundryVending</t>
  </si>
  <si>
    <t>INCM_LaundryVending_cmmercl</t>
  </si>
  <si>
    <t>INCM_TenantCharges</t>
  </si>
  <si>
    <t>INCM_TenantCharges_cmmercl</t>
  </si>
  <si>
    <t>INCM_MiscOtherIncome</t>
  </si>
  <si>
    <t xml:space="preserve">    Source/s----&gt;   </t>
  </si>
  <si>
    <t xml:space="preserve">    Supportive Services Income Source/s- identify program source(s) if applicable --&gt;</t>
  </si>
  <si>
    <t>3BR</t>
  </si>
  <si>
    <t>4BR</t>
  </si>
  <si>
    <t>Other Required Reserve Account Withdrawals - Identify account in next col  ----&gt;</t>
  </si>
  <si>
    <t>"Above the Line" Asset Management Fee (amount allowable may be limited, see Asset Mgt. Fee Policy)</t>
  </si>
  <si>
    <t>DataEntryNotes</t>
  </si>
  <si>
    <t>Double click on the following web links to access the policy documents posted at SFGOV for your reference. The web address of the pages on the web are included for manual navigation as well.</t>
  </si>
  <si>
    <t>Description</t>
  </si>
  <si>
    <t>Amount to be used for CDBG eligible activity#1 (provide amount in cell to the right, and activity description and regulation citation in column furthest to the right):</t>
  </si>
  <si>
    <t>Amount to be used for CDBG eligible activity#2 (provide amount in cell to the right, and activity description and regulation citation in column furthest to the right):</t>
  </si>
  <si>
    <t>Amount to be used for CDBG eligible activity#3 (provide amount in cell to the right, and activity description and regulation citation in column furthest to the right):</t>
  </si>
  <si>
    <t>Other (provide amount in cell to the right, plus activity description and regulation citation in column furthest to the right):</t>
  </si>
  <si>
    <t>DESCRIPTION</t>
  </si>
  <si>
    <t>INSTRUCTIONS:</t>
  </si>
  <si>
    <t>Senior Housing</t>
  </si>
  <si>
    <t>Substance Abuse</t>
  </si>
  <si>
    <t>Domestic Violence Survivor</t>
  </si>
  <si>
    <t>Veterans</t>
  </si>
  <si>
    <t xml:space="preserve">Property Management Company </t>
  </si>
  <si>
    <t xml:space="preserve">Property Owner Contact Person </t>
  </si>
  <si>
    <t xml:space="preserve">Property Owner Name   </t>
  </si>
  <si>
    <t>Start Date:</t>
  </si>
  <si>
    <t>End Date:</t>
  </si>
  <si>
    <t>Row Num</t>
  </si>
  <si>
    <t>Unit No.</t>
  </si>
  <si>
    <t># 5</t>
  </si>
  <si>
    <t>Elderly House-hold (yes/no)</t>
  </si>
  <si>
    <t>Amount of Rental Assistance</t>
  </si>
  <si>
    <t>Amount Tenant Paid Rent for Unit</t>
  </si>
  <si>
    <t>Percentage of Rent Increase</t>
  </si>
  <si>
    <t>this area is non-printing; do not edit these fields!!</t>
  </si>
  <si>
    <t>Y/N</t>
  </si>
  <si>
    <t>DisabilityType</t>
  </si>
  <si>
    <t>Rental Assistance Type</t>
  </si>
  <si>
    <t>Unit Type</t>
  </si>
  <si>
    <t>yes</t>
  </si>
  <si>
    <t>Mobility</t>
  </si>
  <si>
    <t>Bed</t>
  </si>
  <si>
    <t>no</t>
  </si>
  <si>
    <t>1BR</t>
  </si>
  <si>
    <t>SRO</t>
  </si>
  <si>
    <t>none</t>
  </si>
  <si>
    <t>S+C</t>
  </si>
  <si>
    <t>Studio</t>
  </si>
  <si>
    <t>2BR</t>
  </si>
  <si>
    <t>INCOME &amp; EXPENSES</t>
  </si>
  <si>
    <t>12 Month Report Period</t>
  </si>
  <si>
    <t>Account</t>
  </si>
  <si>
    <t>Description of Expense Accounts</t>
  </si>
  <si>
    <t>Number</t>
  </si>
  <si>
    <t>Residential</t>
  </si>
  <si>
    <t>Non-Residential</t>
  </si>
  <si>
    <t>Total</t>
  </si>
  <si>
    <t>Housing Units - Gross Potential Tenant Rents</t>
  </si>
  <si>
    <t>Commercial</t>
  </si>
  <si>
    <t>sub-total Gross Rental Income:</t>
  </si>
  <si>
    <t>vacancy rate</t>
  </si>
  <si>
    <t>Housing Units</t>
  </si>
  <si>
    <t>sub-total Vacancies:</t>
  </si>
  <si>
    <t>NET RENTAL INCOME:</t>
  </si>
  <si>
    <t>Parking Spaces</t>
  </si>
  <si>
    <t>Miscellaneous Rent Income</t>
  </si>
  <si>
    <t>Interest Income - Project Operations</t>
  </si>
  <si>
    <t>Laundry and Vending</t>
  </si>
  <si>
    <t>Tenant Charges</t>
  </si>
  <si>
    <t>Miscellaneous Income</t>
  </si>
  <si>
    <t>sub-total Other Income Received:</t>
  </si>
  <si>
    <t>Total Debt Service Payments</t>
  </si>
  <si>
    <t>11.  Deferred Developer fee, if any</t>
  </si>
  <si>
    <t>Negative Cash Flow</t>
  </si>
  <si>
    <t>Vacancy Rate</t>
  </si>
  <si>
    <t>Vacant Unit Rent-Up Time</t>
  </si>
  <si>
    <t>Property Taxes</t>
  </si>
  <si>
    <t>Major Repairs</t>
  </si>
  <si>
    <t>Asset Management Fee</t>
  </si>
  <si>
    <t>Operating Reserve Account Withdrawals</t>
  </si>
  <si>
    <t>Operating Reserve Deposits</t>
  </si>
  <si>
    <t>Remember, SAVE YOUR WORK!</t>
  </si>
  <si>
    <t>Violation or Citation #</t>
  </si>
  <si>
    <t>Date Issued</t>
  </si>
  <si>
    <t>Issued By</t>
  </si>
  <si>
    <t>Cleared? (y/n)</t>
  </si>
  <si>
    <t>(add additional rows as needed)</t>
  </si>
  <si>
    <t>Date Cleared</t>
  </si>
  <si>
    <t>Description of Remedy</t>
  </si>
  <si>
    <t xml:space="preserve">Project Street Address: </t>
  </si>
  <si>
    <t>Target Population</t>
  </si>
  <si>
    <t>IN PROGRESS</t>
  </si>
  <si>
    <t>COMPLETED</t>
  </si>
  <si>
    <t>Links to Relevant Policies</t>
  </si>
  <si>
    <t>Program Income Overview</t>
  </si>
  <si>
    <t xml:space="preserve">AMR Preparer’s Name </t>
  </si>
  <si>
    <t>Actual Population</t>
  </si>
  <si>
    <t>Formerly Incarcerated</t>
  </si>
  <si>
    <r>
      <t xml:space="preserve">How many </t>
    </r>
    <r>
      <rPr>
        <b/>
        <sz val="14"/>
        <rFont val="Arial"/>
        <family val="2"/>
      </rPr>
      <t>Health, Building or Housing Code Violations</t>
    </r>
    <r>
      <rPr>
        <sz val="14"/>
        <rFont val="Arial"/>
        <family val="2"/>
      </rPr>
      <t xml:space="preserve"> were cleared in the reporting year?</t>
    </r>
  </si>
  <si>
    <t>Unknown</t>
  </si>
  <si>
    <t>Other</t>
  </si>
  <si>
    <t>Management</t>
  </si>
  <si>
    <t>Management Fee</t>
  </si>
  <si>
    <t>Administrative Rent Free Unit</t>
  </si>
  <si>
    <t>sub-total Management Expense:</t>
  </si>
  <si>
    <t>Salaries/Benefits</t>
  </si>
  <si>
    <t>Office Salaries</t>
  </si>
  <si>
    <t>Manager's Salary</t>
  </si>
  <si>
    <t>sub-total Salary/Benefit Expense:</t>
  </si>
  <si>
    <t>Administration</t>
  </si>
  <si>
    <t>Advertising and Marketing</t>
  </si>
  <si>
    <t>Office Expenses</t>
  </si>
  <si>
    <t>Office Rent</t>
  </si>
  <si>
    <t>Legal Expense - Property</t>
  </si>
  <si>
    <t>Audit Expense</t>
  </si>
  <si>
    <t>Bookkeeping/Accounting Services</t>
  </si>
  <si>
    <t>Bad Debts</t>
  </si>
  <si>
    <t>Miscellaneous Administrative Expenses</t>
  </si>
  <si>
    <t>sub-total Administrative Expense:</t>
  </si>
  <si>
    <t>Utilities</t>
  </si>
  <si>
    <t>Electricity</t>
  </si>
  <si>
    <t>Water</t>
  </si>
  <si>
    <t>Gas</t>
  </si>
  <si>
    <t>Sewer</t>
  </si>
  <si>
    <t>sub-total Utilities Expense:</t>
  </si>
  <si>
    <t>Real Estate Taxes</t>
  </si>
  <si>
    <t>Payroll taxes</t>
  </si>
  <si>
    <t>Miscellaneous Taxes, Licenses, and Permits</t>
  </si>
  <si>
    <t>sub-total Taxes and License Expense:</t>
  </si>
  <si>
    <t>Insurance</t>
  </si>
  <si>
    <t>Property and Liability Insurance</t>
  </si>
  <si>
    <t>Fidelity Bond Insurance</t>
  </si>
  <si>
    <t>Directors &amp; Officers Liabilities Insurance*</t>
  </si>
  <si>
    <t>sub-total Insurance Expense:</t>
  </si>
  <si>
    <t>Payroll</t>
  </si>
  <si>
    <t>Supplies</t>
  </si>
  <si>
    <t>Contracts</t>
  </si>
  <si>
    <t>Garbage and Trash Removal</t>
  </si>
  <si>
    <t>Security Payroll/Contract</t>
  </si>
  <si>
    <t>HVAC Repairs and Maintenance</t>
  </si>
  <si>
    <t>Vehicle and Maintenance Equipment Operation and Repairs</t>
  </si>
  <si>
    <t>Miscellaneous Operating and Maintenance Expenses</t>
  </si>
  <si>
    <t>RESERVE ACCOUNT DETAILS</t>
  </si>
  <si>
    <t>Replacement Reserve</t>
  </si>
  <si>
    <t>FEDERAL PROGRAM INCOME REPORT</t>
  </si>
  <si>
    <t>CDBG PROGRAM INCOME</t>
  </si>
  <si>
    <t>Amount</t>
  </si>
  <si>
    <t xml:space="preserve"> </t>
  </si>
  <si>
    <t>Reporting Period - End Date:</t>
  </si>
  <si>
    <t xml:space="preserve">Reporting Period - Start Date: </t>
  </si>
  <si>
    <t>a. A description of the work done to analyze the cause/s of the shortfall, and what the
    identified causes are; and</t>
  </si>
  <si>
    <t>b. A description of the work done to identify remedies for the shortfall, and all viable
    remedies that have been identified; and</t>
  </si>
  <si>
    <t>c. A description of the plan to implement any remedies, including specific timelines for
    the implementation work.</t>
  </si>
  <si>
    <t>a. A description of the work done to analyze the cause/s of the vacancy rate, and what
    the identified causes are; and</t>
  </si>
  <si>
    <t>b. A description of the work done to identify means of reducing the vacancy rate, and all
    viable remedies that have been identified; and</t>
  </si>
  <si>
    <t>a. A description of the work done to analyze the cause/s of the high turnaround time, and
    what the identified causes are; and</t>
  </si>
  <si>
    <t>owned solely by parent organization</t>
  </si>
  <si>
    <t>other</t>
  </si>
  <si>
    <t>** ONLY FOR ALL VIOLATIONS THAT WERE NOT RESOLVED by the end of the reporting period: You must also attach a SCANNED copy of each Violation/Citation to your AMR submittal. **</t>
  </si>
  <si>
    <t>Reporting Period End Date (m/d/yyyy)</t>
  </si>
  <si>
    <t>What is the date of the last Capital Needs Assessment? (m/d/yyyy)</t>
  </si>
  <si>
    <t>What is the projected date of the next Capital Needs Assessment? (m/d/yyyy)</t>
  </si>
  <si>
    <t>AMOUNT</t>
  </si>
  <si>
    <t>don't delete anything in this box</t>
  </si>
  <si>
    <t>Property Supervisor Name</t>
  </si>
  <si>
    <t>Do not delete these!</t>
  </si>
  <si>
    <t>incomplete</t>
  </si>
  <si>
    <t>OK</t>
  </si>
  <si>
    <t>Rental Income - Housing Unit GPTR</t>
  </si>
  <si>
    <t>Vacancy Loss - Housing Units</t>
  </si>
  <si>
    <t>Operating Expenses</t>
  </si>
  <si>
    <t>ProjKey</t>
  </si>
  <si>
    <t>ReportingYear</t>
  </si>
  <si>
    <t>RptPeriodDateStart</t>
  </si>
  <si>
    <t>RptPeriodDateEnd</t>
  </si>
  <si>
    <t>ProjName</t>
  </si>
  <si>
    <t>NumResidUnits</t>
  </si>
  <si>
    <t>NumSROs</t>
  </si>
  <si>
    <t>Num1BRs</t>
  </si>
  <si>
    <t>Num2BRs</t>
  </si>
  <si>
    <t>Num3BRs</t>
  </si>
  <si>
    <t>PPTMgtCompany</t>
  </si>
  <si>
    <t>PPTMgrName</t>
  </si>
  <si>
    <t>PPTMgrPhone</t>
  </si>
  <si>
    <t>PPTMgrEmail</t>
  </si>
  <si>
    <t>PPTOwnerName</t>
  </si>
  <si>
    <t>PPTOwnerContactName</t>
  </si>
  <si>
    <t>PPTOwnerContactPhone</t>
  </si>
  <si>
    <t>PPTOwnerContactEmail</t>
  </si>
  <si>
    <t>AssetMgrName</t>
  </si>
  <si>
    <t>AssetMgrPhone</t>
  </si>
  <si>
    <t>AssetMgrEmail</t>
  </si>
  <si>
    <t>AMRPreparerName</t>
  </si>
  <si>
    <t>AMRPreparerPhone</t>
  </si>
  <si>
    <t>AMRPreparerEmail</t>
  </si>
  <si>
    <t>DateLastCNA</t>
  </si>
  <si>
    <t>DateNextCNAProjected</t>
  </si>
  <si>
    <t>Popltn_AIDS_SuppHsg_Target</t>
  </si>
  <si>
    <t>Popltn_AIDS_SuppHsg_Actual</t>
  </si>
  <si>
    <t>AMRKey</t>
  </si>
  <si>
    <t>remember - whole extra table to paste below!</t>
  </si>
  <si>
    <t>Tenant Assistance Payments (identify sources in row below if applicable)</t>
  </si>
  <si>
    <t>Less than 1 month</t>
  </si>
  <si>
    <t>1 to 2 months</t>
  </si>
  <si>
    <t>3 - 6 months</t>
  </si>
  <si>
    <t>7 months -12 months</t>
  </si>
  <si>
    <t>13 months - 24 months</t>
  </si>
  <si>
    <t>25 months - 3 years</t>
  </si>
  <si>
    <t>Public Housing</t>
  </si>
  <si>
    <t>Section 8 Voucher</t>
  </si>
  <si>
    <t>Homeownership</t>
  </si>
  <si>
    <t>Moved in with family or friends</t>
  </si>
  <si>
    <t>Transitional Housing for homeless persons</t>
  </si>
  <si>
    <t>Psychiatric hospital</t>
  </si>
  <si>
    <t>Inpatient alcohol or other drug treatment facility</t>
  </si>
  <si>
    <t>Jail/Prison</t>
  </si>
  <si>
    <t>Medical Facility</t>
  </si>
  <si>
    <t>Emergency Shelter</t>
  </si>
  <si>
    <t>OTHER</t>
  </si>
  <si>
    <t>#</t>
  </si>
  <si>
    <t>B. Num Families</t>
  </si>
  <si>
    <t>C1. Num Adults  in Families</t>
  </si>
  <si>
    <t>C2. Num  Children in Families</t>
  </si>
  <si>
    <t>Num on the first day of operating year</t>
  </si>
  <si>
    <t>Num entering the program during the operating year</t>
  </si>
  <si>
    <t>Num who left the program during the operating year</t>
  </si>
  <si>
    <t>Total Households (Singles and Families) That Can Be Served</t>
  </si>
  <si>
    <t>Num in the program on the last day of the operating year</t>
  </si>
  <si>
    <r>
      <rPr>
        <b/>
        <sz val="12"/>
        <color indexed="8"/>
        <rFont val="Arial"/>
        <family val="2"/>
      </rPr>
      <t xml:space="preserve">If the Capacity Utilization Rate is </t>
    </r>
    <r>
      <rPr>
        <b/>
        <u/>
        <sz val="12"/>
        <color indexed="10"/>
        <rFont val="Arial"/>
        <family val="2"/>
      </rPr>
      <t>LESS</t>
    </r>
    <r>
      <rPr>
        <b/>
        <sz val="12"/>
        <color indexed="10"/>
        <rFont val="Arial"/>
        <family val="2"/>
      </rPr>
      <t xml:space="preserve"> than 75% </t>
    </r>
    <r>
      <rPr>
        <b/>
        <sz val="12"/>
        <color indexed="8"/>
        <rFont val="Arial"/>
        <family val="2"/>
      </rPr>
      <t xml:space="preserve">you must respond to the following: </t>
    </r>
  </si>
  <si>
    <t>Places not meant for human habitation  (e.g. street)</t>
  </si>
  <si>
    <t>Other Subtotal</t>
  </si>
  <si>
    <t>TRANSITIONAL</t>
  </si>
  <si>
    <t xml:space="preserve">  Permanent Housing Subtotal</t>
  </si>
  <si>
    <t xml:space="preserve">  Transitional Housing Subtotal</t>
  </si>
  <si>
    <t xml:space="preserve">  Institutional Subtotal</t>
  </si>
  <si>
    <t>INSTITUTIONAL</t>
  </si>
  <si>
    <t>Length of Stay:</t>
  </si>
  <si>
    <t xml:space="preserve">Destination: </t>
  </si>
  <si>
    <t>PERMANENT</t>
  </si>
  <si>
    <t>C</t>
  </si>
  <si>
    <t>D</t>
  </si>
  <si>
    <t>E</t>
  </si>
  <si>
    <t>F</t>
  </si>
  <si>
    <t>G</t>
  </si>
  <si>
    <t>H</t>
  </si>
  <si>
    <t>I</t>
  </si>
  <si>
    <t>J</t>
  </si>
  <si>
    <t>K</t>
  </si>
  <si>
    <t>L</t>
  </si>
  <si>
    <t>M</t>
  </si>
  <si>
    <t>N</t>
  </si>
  <si>
    <t>O</t>
  </si>
  <si>
    <t>P</t>
  </si>
  <si>
    <t>Q</t>
  </si>
  <si>
    <t>R</t>
  </si>
  <si>
    <t>S</t>
  </si>
  <si>
    <t>T</t>
  </si>
  <si>
    <t>U</t>
  </si>
  <si>
    <t>V</t>
  </si>
  <si>
    <t>W</t>
  </si>
  <si>
    <t>Project Address:</t>
  </si>
  <si>
    <t>TOTAL # HH's that left the program</t>
  </si>
  <si>
    <r>
      <rPr>
        <b/>
        <sz val="14"/>
        <rFont val="Arial"/>
        <family val="2"/>
      </rPr>
      <t xml:space="preserve">Target / Actual Populations: </t>
    </r>
    <r>
      <rPr>
        <sz val="14"/>
        <rFont val="Arial"/>
        <family val="2"/>
      </rPr>
      <t>As of the last day of the reporting period, what are the Actual and Target Populations (expressed as Number of Households) for the Project?</t>
    </r>
  </si>
  <si>
    <t>TOTAL Residents</t>
  </si>
  <si>
    <t xml:space="preserve">Total Households (Singles and Families) Served </t>
  </si>
  <si>
    <t>&lt;--Capacity Utilization Rate (by Household as of last Day of Operating Year)</t>
  </si>
  <si>
    <t>Total Households in program on the last day of the operating year</t>
  </si>
  <si>
    <t>Subsidized Rental - house or apartment</t>
  </si>
  <si>
    <r>
      <t xml:space="preserve">Moved in with family or friends </t>
    </r>
    <r>
      <rPr>
        <i/>
        <sz val="12"/>
        <rFont val="Arial"/>
        <family val="2"/>
      </rPr>
      <t>TEMPORARILY</t>
    </r>
  </si>
  <si>
    <r>
      <t xml:space="preserve">1. Explain the reason(s) why the capacity utilization rate is as low as it is; </t>
    </r>
    <r>
      <rPr>
        <b/>
        <sz val="12"/>
        <rFont val="Arial"/>
        <family val="2"/>
      </rPr>
      <t>and</t>
    </r>
  </si>
  <si>
    <t xml:space="preserve">2. Describe plan/s to raise the capacity utilization rate to at least 75%, with specific timeline.       </t>
  </si>
  <si>
    <t>=6</t>
  </si>
  <si>
    <t>=16</t>
  </si>
  <si>
    <t>1 thru 11</t>
  </si>
  <si>
    <t>12 thru 18</t>
  </si>
  <si>
    <t>19 thru 39</t>
  </si>
  <si>
    <t>Required Annual Deposit:</t>
  </si>
  <si>
    <t>When was the waiting list last updated? (m/yyyy)</t>
  </si>
  <si>
    <t>Rental - House or Apartment (no subsidy)</t>
  </si>
  <si>
    <t>ReportYear</t>
  </si>
  <si>
    <t>Unit Type (Bed / SRO / Studio / 1BR / 2BR / 3BR / 4BR / 5+BR)</t>
  </si>
  <si>
    <t>http://www.sf-moh.org/Modules/ShowDocument.aspx?documentid=5141</t>
  </si>
  <si>
    <t>after school program</t>
  </si>
  <si>
    <t>Go To WS6</t>
  </si>
  <si>
    <t>Employment Services (y/n)</t>
  </si>
  <si>
    <t xml:space="preserve">Health and Wellness Services/Programs  (y/n) </t>
  </si>
  <si>
    <r>
      <t xml:space="preserve">Licensed Day Care Service </t>
    </r>
    <r>
      <rPr>
        <i/>
        <sz val="12"/>
        <rFont val="Arial"/>
        <family val="2"/>
      </rPr>
      <t>(participant fees are allowable for day care ONLY)</t>
    </r>
    <r>
      <rPr>
        <i/>
        <sz val="14"/>
        <rFont val="Arial"/>
        <family val="2"/>
      </rPr>
      <t xml:space="preserve">  </t>
    </r>
    <r>
      <rPr>
        <sz val="14"/>
        <rFont val="Arial"/>
        <family val="2"/>
      </rPr>
      <t>(y/n)</t>
    </r>
  </si>
  <si>
    <t xml:space="preserve">Youth Program/s  (y/n) </t>
  </si>
  <si>
    <t>After School Program/s (y/n)</t>
  </si>
  <si>
    <t>Services Funding</t>
  </si>
  <si>
    <t>Use this worksheet to track your work and to verify that you have completed all required data entry.</t>
  </si>
  <si>
    <t>Other Service #1 - Please specifiy in column G.</t>
  </si>
  <si>
    <t>Other Service #2 - Please specifiy in column G.</t>
  </si>
  <si>
    <t>Benefits Assistance and Advocacy; Money Management; Financial Literacy and Counseling (y/n)</t>
  </si>
  <si>
    <t>Support Groups, Social Events, Organized Tenant Activities (y/n)</t>
  </si>
  <si>
    <t>ProjFullStreetAddr</t>
  </si>
  <si>
    <r>
      <t xml:space="preserve">Property </t>
    </r>
    <r>
      <rPr>
        <b/>
        <sz val="14"/>
        <rFont val="Arial"/>
        <family val="2"/>
      </rPr>
      <t>Full Street Address</t>
    </r>
    <r>
      <rPr>
        <sz val="14"/>
        <rFont val="Arial"/>
        <family val="2"/>
      </rPr>
      <t xml:space="preserve"> (e.g. "123 Main Street")</t>
    </r>
  </si>
  <si>
    <t>Case Management, Information and Referrals (y/n)</t>
  </si>
  <si>
    <t>Service Type</t>
  </si>
  <si>
    <t>Service Provider Name</t>
  </si>
  <si>
    <t>Street Address where Service is Provided</t>
  </si>
  <si>
    <t>Grant Amount</t>
  </si>
  <si>
    <t>Grant Start Date</t>
  </si>
  <si>
    <t>Grant End Date</t>
  </si>
  <si>
    <t>licensed day care services</t>
  </si>
  <si>
    <t>youth programs</t>
  </si>
  <si>
    <t>health and wellness services and programs</t>
  </si>
  <si>
    <t>employment services</t>
  </si>
  <si>
    <t>case management, information and referrals</t>
  </si>
  <si>
    <t>benefits assistance and advocacy; money management; financial literacy and counseling</t>
  </si>
  <si>
    <t>support groups, social events, organized tenant activities</t>
  </si>
  <si>
    <t>other1 - specified</t>
  </si>
  <si>
    <t>other2 - specified</t>
  </si>
  <si>
    <t xml:space="preserve">Educational Classes (e.g. basic skills, computer training, ESL)  (y/n) </t>
  </si>
  <si>
    <t>educational classes (e.g. basic skills, computer training, ESL)</t>
  </si>
  <si>
    <t>Name of Funder of this Service</t>
  </si>
  <si>
    <r>
      <t>Describe how the amount of annual deposit and the minimum required balance is determined</t>
    </r>
    <r>
      <rPr>
        <sz val="11"/>
        <rFont val="Arial"/>
        <family val="2"/>
      </rPr>
      <t>.</t>
    </r>
  </si>
  <si>
    <t>proj addr full for display at tops of other worksheets:</t>
  </si>
  <si>
    <t>num units for display</t>
  </si>
  <si>
    <t>Current Services Funding</t>
  </si>
  <si>
    <t>1 thru 4</t>
  </si>
  <si>
    <r>
      <t xml:space="preserve">OPERATING RESERVE </t>
    </r>
    <r>
      <rPr>
        <i/>
        <sz val="10"/>
        <rFont val="Arial"/>
        <family val="2"/>
      </rPr>
      <t>(Do not leave blanks for any questions asking for a number, enter zero instead.)</t>
    </r>
  </si>
  <si>
    <r>
      <t xml:space="preserve">REPLACEMENT RESERVE </t>
    </r>
    <r>
      <rPr>
        <sz val="10"/>
        <rFont val="Arial"/>
        <family val="2"/>
      </rPr>
      <t>(Do not leave blanks for any questions asking for a number, enter zero instead.)</t>
    </r>
  </si>
  <si>
    <t>&gt;=6 and C212 must have answer</t>
  </si>
  <si>
    <t>&gt;=5 and d203 if c203 is &gt;=26% or &lt;25%</t>
  </si>
  <si>
    <r>
      <t>Total CDBG Program Income Calculation</t>
    </r>
    <r>
      <rPr>
        <sz val="10"/>
        <rFont val="Arial"/>
        <family val="2"/>
      </rPr>
      <t>(see instructions for guidance on how to calculate)</t>
    </r>
  </si>
  <si>
    <t xml:space="preserve">This section must be completed if the project received any CDBG funding, even if the amount of CDBG program income during the reporting period was zero.  For more information, use the following link or copy this web address for manual navigation:      </t>
  </si>
  <si>
    <t>Residential Breakdown</t>
  </si>
  <si>
    <t>non-LOSP</t>
  </si>
  <si>
    <t># LOSP Units</t>
  </si>
  <si>
    <t># non-LOSP Units</t>
  </si>
  <si>
    <t>LOSP REPORTING</t>
  </si>
  <si>
    <r>
      <t xml:space="preserve">Date Of Most Recent Rent Increase </t>
    </r>
    <r>
      <rPr>
        <b/>
        <sz val="8"/>
        <rFont val="Arial"/>
        <family val="2"/>
      </rPr>
      <t xml:space="preserve">WITHIN THE REPORTING PERIOD </t>
    </r>
    <r>
      <rPr>
        <sz val="8"/>
        <rFont val="Arial"/>
        <family val="2"/>
      </rPr>
      <t>(m/d/yyyy)</t>
    </r>
  </si>
  <si>
    <r>
      <t xml:space="preserve">Amount of Most Recent Rent Increase </t>
    </r>
    <r>
      <rPr>
        <b/>
        <sz val="8"/>
        <rFont val="Arial"/>
        <family val="2"/>
      </rPr>
      <t>WITHIN THE REPORTING PERIOD</t>
    </r>
  </si>
  <si>
    <t>ProjKey -ENTER BELOW</t>
  </si>
  <si>
    <t>Workers' Compensation</t>
  </si>
  <si>
    <t>LOSP split calculation</t>
  </si>
  <si>
    <t>Pre-authorized alternative LOSP split</t>
  </si>
  <si>
    <r>
      <t xml:space="preserve">Surplus Cash, Detail </t>
    </r>
    <r>
      <rPr>
        <sz val="10"/>
        <rFont val="Arial"/>
        <family val="2"/>
      </rPr>
      <t>(NOI minus Debt Service and Reserve Activity)</t>
    </r>
  </si>
  <si>
    <t>DO NOT SUBMIT YOUR PROPOSED RESIDUAL RECEIPT PAYMENT TO MOHCD WITH THIS AMR. MOHCD WILL REVIEW YOUR PROPOSED PAYMENT AND GENERATE AN INVOICE IF THE CALCULATION CAN BE VERIFIED AS APPROPRIATE; IF THE CALCULATION CANNOT BE VERIFIED, MOHCD WILL CONTACT YOU.</t>
  </si>
  <si>
    <t>Supportive Services Income - do not enter supportive services income if it is tracked in a separate budget and not appropriate per MOHCD loan terms to be included in residual receipts calculation</t>
  </si>
  <si>
    <t xml:space="preserve">
MOHCD created the questions below to allow project owners to supply additional information about a small number of measurements that may indicate that a project is having difficulties. By providing this information, project owners will help provide context for the conclusions that can be made about the measurements. MOHCD will use the measurements and the information below to prioritize the projects that need closer scrutiny and support. Please supply as much information as is readily available.</t>
  </si>
  <si>
    <t>Current Project Financing</t>
  </si>
  <si>
    <t>Pre-authorized alternative LOSP split for Non-Res Surplus</t>
  </si>
  <si>
    <t>Surplus Cash, Total------------------------&gt;</t>
  </si>
  <si>
    <t xml:space="preserve">Must click &amp; explain if Residential Vac Rate is &gt; 15% </t>
  </si>
  <si>
    <t>Pre-authorized alternative LOSP split for OTHER source/s of Rental Assistance Payments:</t>
  </si>
  <si>
    <t>Rental Assistance Pmts - OTHER - Source/s</t>
  </si>
  <si>
    <t>Rental Assistance Pmts - OTHER - Amount</t>
  </si>
  <si>
    <t>DAH (DPH)</t>
  </si>
  <si>
    <t>HSA Master Lease</t>
  </si>
  <si>
    <t xml:space="preserve">Employee Benefits: Health Insurance &amp; Disability Insurance </t>
  </si>
  <si>
    <t>Employee Benefits: Retirement &amp; Other Salary/Benefit Expenses</t>
  </si>
  <si>
    <t>Ground Lease - Base Rent (provide Lessor name to the right)</t>
  </si>
  <si>
    <t>A. Num Singles Not in Families</t>
  </si>
  <si>
    <t>Minimum Required Balance:</t>
  </si>
  <si>
    <t>If the calculated percentage shown to the right (Op Reserve Account Ending Balance divided by Total Op Expenses) is less than 23.5%, you must describe how the project will remedy the shortfall in the adjacent cell. 
If the calculated percentage shown to the right is greater than 26.5%, you must explain why the Op Reserve balance exceeds MOHCD's requirement in the adjacent cell.</t>
  </si>
  <si>
    <r>
      <t xml:space="preserve">Required Annual Deposit </t>
    </r>
    <r>
      <rPr>
        <sz val="11"/>
        <rFont val="Arial"/>
        <family val="2"/>
      </rPr>
      <t>(do not edit - taken from  page 1 account number 1320):</t>
    </r>
  </si>
  <si>
    <t>RR Withdrawal Amount--&gt;</t>
  </si>
  <si>
    <t>the fields to the left are used for checklist (completeness) functionality, should not display or print</t>
  </si>
  <si>
    <t>the field to the left are used for checklist (completeness) functionality, should not display or print</t>
  </si>
  <si>
    <t>MOHCD Residual Receipt Policy</t>
  </si>
  <si>
    <t xml:space="preserve">MOHCD Insurance Requirements Policy </t>
  </si>
  <si>
    <t>Description of Income Accounts</t>
  </si>
  <si>
    <t>Commercial Unit Rents</t>
  </si>
  <si>
    <t>Vacancy Loss</t>
  </si>
  <si>
    <r>
      <rPr>
        <u/>
        <sz val="14"/>
        <rFont val="CG Omega (W1)"/>
      </rPr>
      <t>5121 Rental Assistance Payments.</t>
    </r>
    <r>
      <rPr>
        <sz val="14"/>
        <rFont val="CG Omega (W1)"/>
      </rPr>
      <t xml:space="preserve">  This account records rental assistance payments received or earned by the project through the LOSP, HUD Section 8 program (project-based or tenant-based assistance), HUD Section 202/811 programs, Shelter Plus Care program,  HOPWA program, Rent Supplement, HOME Tenant-Based Assistance and VASH.</t>
    </r>
  </si>
  <si>
    <r>
      <rPr>
        <u/>
        <sz val="14"/>
        <rFont val="CG Omega (W1)"/>
      </rPr>
      <t>5140 Commercial Unit Rents.</t>
    </r>
    <r>
      <rPr>
        <sz val="14"/>
        <rFont val="CG Omega (W1)"/>
      </rPr>
      <t xml:space="preserve"> This account records gross rental income from stores, offices, rented basement space, furniture and equipment or other commercial facilities provided by the property.</t>
    </r>
  </si>
  <si>
    <r>
      <rPr>
        <u/>
        <sz val="14"/>
        <rFont val="CG Omega (W1)"/>
      </rPr>
      <t>5220 Rent Income -  Residential Units Vacancy Loss.</t>
    </r>
    <r>
      <rPr>
        <sz val="14"/>
        <rFont val="CG Omega (W1)"/>
      </rPr>
      <t xml:space="preserve">  ENTER AS NEGATIVE NUMBER. This account records total loss of residential rental income due to vacant residential units.</t>
    </r>
  </si>
  <si>
    <r>
      <rPr>
        <u/>
        <sz val="14"/>
        <rFont val="CG Omega (W1)"/>
      </rPr>
      <t>5240 Rent Income -  Commercial Units Vacancy Loss.</t>
    </r>
    <r>
      <rPr>
        <sz val="14"/>
        <rFont val="CG Omega (W1)"/>
      </rPr>
      <t xml:space="preserve"> ENTER AS NEGATIVE NUMBER. This account records total loss of commercial rental income due to vacant commercial units.</t>
    </r>
  </si>
  <si>
    <t>Garage and Parking Spaces</t>
  </si>
  <si>
    <r>
      <rPr>
        <u/>
        <sz val="14"/>
        <rFont val="CG Omega (W1)"/>
      </rPr>
      <t>5170 Garage and Parking Spaces.</t>
    </r>
    <r>
      <rPr>
        <sz val="14"/>
        <rFont val="CG Omega (W1)"/>
      </rPr>
      <t xml:space="preserve">  This account records the gross rental income from all garage and parking spaces.</t>
    </r>
  </si>
  <si>
    <r>
      <rPr>
        <u/>
        <sz val="14"/>
        <rFont val="CG Omega (W1)"/>
      </rPr>
      <t>5190 Miscellaneous Rent Income.</t>
    </r>
    <r>
      <rPr>
        <sz val="14"/>
        <rFont val="CG Omega (W1)"/>
      </rPr>
      <t xml:space="preserve">  This account records gross rental income expectancy not otherwise described above.</t>
    </r>
  </si>
  <si>
    <r>
      <rPr>
        <u/>
        <sz val="14"/>
        <rFont val="CG Omega (W1)"/>
      </rPr>
      <t>5920 Tenant Charges.</t>
    </r>
    <r>
      <rPr>
        <sz val="14"/>
        <rFont val="CG Omega (W1)"/>
      </rPr>
      <t xml:space="preserve"> This account records charges collected from tenants for damages to apartment units and for fees paid by tenants for cleaning of an apartment unit (other than regular housekeeping services), any security deposits forfeited by tenants moving out of the project and charges assessed to tenants for rent checks returned for insufficient funds and for late payment of rents.</t>
    </r>
  </si>
  <si>
    <r>
      <rPr>
        <u/>
        <sz val="14"/>
        <rFont val="CG Omega (W1)"/>
      </rPr>
      <t>5400 Interest Income - Project Operations.</t>
    </r>
    <r>
      <rPr>
        <sz val="14"/>
        <rFont val="CG Omega (W1)"/>
      </rPr>
      <t xml:space="preserve"> This account records interest income received or accrued on the Project Operating Account/s; DO NOT RECORD interest earned on the Replacement Reserve or Operating Reserve here.  </t>
    </r>
  </si>
  <si>
    <r>
      <rPr>
        <u/>
        <sz val="14"/>
        <rFont val="CG Omega (W1)"/>
      </rPr>
      <t>5910 Laundry and Vending.</t>
    </r>
    <r>
      <rPr>
        <sz val="14"/>
        <rFont val="CG Omega (W1)"/>
      </rPr>
      <t xml:space="preserve"> This account records project revenues received from laundry and vending machines owned or leased by the project.</t>
    </r>
  </si>
  <si>
    <r>
      <rPr>
        <u/>
        <sz val="14"/>
        <rFont val="CG Omega (W1)"/>
      </rPr>
      <t>6310 Office Salaries.</t>
    </r>
    <r>
      <rPr>
        <sz val="14"/>
        <rFont val="CG Omega (W1)"/>
      </rPr>
      <t xml:space="preserve">  This account records salaries paid to office employees whether the employees work on site or not. Front-line responsibilities include for example, taking applications, verifying income and processing maintenance requests.  The account does not include salaries paid to occupancy, maintenance and regional supervisors who carry out the agent’s responsibility for overseeing or supervising project operations and personnel: These salaries are paid from the management fee.  This account also does not include the project's share of payroll taxes (Account 6711) or other employee benefits paid by the project.</t>
    </r>
  </si>
  <si>
    <r>
      <rPr>
        <u/>
        <sz val="14"/>
        <rFont val="CG Omega (W1)"/>
      </rPr>
      <t>6723 Employee Benefits: Health Insurance &amp; Disability Insurance.</t>
    </r>
    <r>
      <rPr>
        <sz val="14"/>
        <rFont val="CG Omega (W1)"/>
      </rPr>
      <t xml:space="preserve"> This account records the cost of employee benefits paid and charged to the project for health insurance and disability insurance.</t>
    </r>
  </si>
  <si>
    <r>
      <rPr>
        <u/>
        <sz val="14"/>
        <rFont val="CG Omega (W1)"/>
      </rPr>
      <t>XXXX Employee Benefits: Retirement &amp; Other Salary/Benefit Expenses.</t>
    </r>
    <r>
      <rPr>
        <sz val="14"/>
        <rFont val="CG Omega (W1)"/>
      </rPr>
      <t xml:space="preserve"> This account records the cost of employee benefits paid and charged to the project for retirement and any other employee salary/benefits. </t>
    </r>
  </si>
  <si>
    <r>
      <rPr>
        <u/>
        <sz val="14"/>
        <rFont val="CG Omega (W1)"/>
      </rPr>
      <t>6210 Advertising and Marketing.</t>
    </r>
    <r>
      <rPr>
        <sz val="14"/>
        <rFont val="CG Omega (W1)"/>
      </rPr>
      <t xml:space="preserve"> This account records the cost of advertising the rental property.</t>
    </r>
  </si>
  <si>
    <t>Income</t>
  </si>
  <si>
    <t>Expenses</t>
  </si>
  <si>
    <t xml:space="preserve">Management </t>
  </si>
  <si>
    <r>
      <rPr>
        <u/>
        <sz val="14"/>
        <rFont val="CG Omega (W1)"/>
      </rPr>
      <t>6311 Office Expenses.</t>
    </r>
    <r>
      <rPr>
        <sz val="14"/>
        <rFont val="CG Omega (W1)"/>
      </rPr>
      <t xml:space="preserve"> This account records office expense items such as supplies, postage, stationery, telephone and copying.</t>
    </r>
  </si>
  <si>
    <r>
      <rPr>
        <u/>
        <sz val="14"/>
        <rFont val="CG Omega (W1)"/>
      </rPr>
      <t>6312 Office Rent.</t>
    </r>
    <r>
      <rPr>
        <sz val="14"/>
        <rFont val="CG Omega (W1)"/>
      </rPr>
      <t xml:space="preserve"> This account records the rental value of an apartment, otherwise considered potentially rent-producing, but used as the project office or as a model apartment.  The account is normally debited by journal entry.</t>
    </r>
  </si>
  <si>
    <r>
      <rPr>
        <u/>
        <sz val="14"/>
        <rFont val="CG Omega (W1)"/>
      </rPr>
      <t>6340 Legal Expense - Property.</t>
    </r>
    <r>
      <rPr>
        <sz val="14"/>
        <rFont val="CG Omega (W1)"/>
      </rPr>
      <t xml:space="preserve"> This account records legal fees or services incurred on behalf of the project (as distinguished from the borrower/grantee entity).  For example, agents charge legal fees for eviction procedures to this account.</t>
    </r>
  </si>
  <si>
    <r>
      <rPr>
        <u/>
        <sz val="14"/>
        <rFont val="CG Omega (W1)"/>
      </rPr>
      <t>6351 Bookkeeping Fees/Accounting Services.</t>
    </r>
    <r>
      <rPr>
        <sz val="14"/>
        <rFont val="CG Omega (W1)"/>
      </rPr>
      <t xml:space="preserve"> This account records the cost of bookkeeping fees or automated accounting services not included in the management fee but paid to either the agent or a third party.</t>
    </r>
  </si>
  <si>
    <r>
      <rPr>
        <u/>
        <sz val="14"/>
        <rFont val="CG Omega (W1)"/>
      </rPr>
      <t>6350 Audit Expense.</t>
    </r>
    <r>
      <rPr>
        <sz val="14"/>
        <rFont val="CG Omega (W1)"/>
      </rPr>
      <t xml:space="preserve"> This account records the auditing expenses incurred by the project that are directly related to requirements for audited financial statements and reports.  This account does not include the auditor's charge for preparing the borrower/grantee’s Federal, State and local tax returns.  This account does not include the cost of routine maintenance or review of the project's books and records.</t>
    </r>
  </si>
  <si>
    <t>Taxes and Licenses</t>
  </si>
  <si>
    <t>Maintenance and Repairs</t>
  </si>
  <si>
    <r>
      <rPr>
        <u/>
        <sz val="14"/>
        <rFont val="CG Omega (W1)"/>
      </rPr>
      <t>6710 Real Estate Taxes.</t>
    </r>
    <r>
      <rPr>
        <sz val="14"/>
        <rFont val="CG Omega (W1)"/>
      </rPr>
      <t xml:space="preserve"> This account records payments made for real estate taxes of the project.  </t>
    </r>
  </si>
  <si>
    <r>
      <rPr>
        <u/>
        <sz val="14"/>
        <rFont val="CG Omega (W1)"/>
      </rPr>
      <t>6711 Payroll Taxes (Project’s Share).</t>
    </r>
    <r>
      <rPr>
        <sz val="14"/>
        <rFont val="CG Omega (W1)"/>
      </rPr>
      <t xml:space="preserve"> This account records the project's share of FICA and State and Federal Unemployment taxes.</t>
    </r>
  </si>
  <si>
    <r>
      <rPr>
        <u/>
        <sz val="14"/>
        <rFont val="CG Omega (W1)"/>
      </rPr>
      <t>6790 Miscellaneous Taxes, Licenses and Permits.</t>
    </r>
    <r>
      <rPr>
        <sz val="14"/>
        <rFont val="CG Omega (W1)"/>
      </rPr>
      <t xml:space="preserve"> This account records any taxes, licenses, permit fees or costs of insurance assessed to the property and not otherwise categorized in the 6700 Series.</t>
    </r>
  </si>
  <si>
    <r>
      <rPr>
        <u/>
        <sz val="14"/>
        <rFont val="CG Omega (W1)"/>
      </rPr>
      <t>6721 Fidelity Bond Insurance.</t>
    </r>
    <r>
      <rPr>
        <sz val="14"/>
        <rFont val="CG Omega (W1)"/>
      </rPr>
      <t xml:space="preserve"> This account records the cost of insuring project employees who handle cash.</t>
    </r>
  </si>
  <si>
    <r>
      <rPr>
        <u/>
        <sz val="14"/>
        <rFont val="CG Omega (W1)"/>
      </rPr>
      <t>6722 Workers’ Compensation.</t>
    </r>
    <r>
      <rPr>
        <sz val="14"/>
        <rFont val="CG Omega (W1)"/>
      </rPr>
      <t xml:space="preserve"> This account records the cost of workers' compensation insurance for project employees.</t>
    </r>
  </si>
  <si>
    <r>
      <rPr>
        <u/>
        <sz val="14"/>
        <rFont val="CG Omega (W1)"/>
      </rPr>
      <t>6724 Directors and Officers Liabilities Insurance.</t>
    </r>
    <r>
      <rPr>
        <sz val="14"/>
        <rFont val="CG Omega (W1)"/>
      </rPr>
      <t xml:space="preserve"> This account records the cost of insurance to cover financial protection for the directors and officers of the ownership entity in the event they are sued in conjunction with the performance of their duties as they relate to the property.</t>
    </r>
  </si>
  <si>
    <r>
      <rPr>
        <u/>
        <sz val="14"/>
        <rFont val="CG Omega (W1)"/>
      </rPr>
      <t>6510 Payroll.</t>
    </r>
    <r>
      <rPr>
        <sz val="14"/>
        <rFont val="CG Omega (W1)"/>
      </rPr>
      <t xml:space="preserve"> This account records the salaries of project employees whose perform services including but not limited to janitorial/cleaning, exterminating, grounds, repairs, elevator maintenance and decorating. This account does not include the property’s share of payroll taxes (FICA and Unemployment) or other employee benefits paid by the property.</t>
    </r>
  </si>
  <si>
    <r>
      <rPr>
        <u/>
        <sz val="14"/>
        <rFont val="CG Omega (W1)"/>
      </rPr>
      <t>6515 Supplies.</t>
    </r>
    <r>
      <rPr>
        <sz val="14"/>
        <rFont val="CG Omega (W1)"/>
      </rPr>
      <t xml:space="preserve"> This account records all cost of supplies charged to the property for janitorial cleaning, exterminating, grounds, repairs and decorating.</t>
    </r>
  </si>
  <si>
    <r>
      <rPr>
        <u/>
        <sz val="14"/>
        <rFont val="CG Omega (W1)"/>
      </rPr>
      <t>6520 Contracts.</t>
    </r>
    <r>
      <rPr>
        <sz val="14"/>
        <rFont val="CG Omega (W1)"/>
      </rPr>
      <t xml:space="preserve"> This account records the cost of contracts the owner or agent executes with third parties on behalf of the property for janitorial/cleaning, exterminating, grounds, repairs, elevator maintenance and decorating.</t>
    </r>
  </si>
  <si>
    <r>
      <rPr>
        <u/>
        <sz val="14"/>
        <rFont val="CG Omega (W1)"/>
      </rPr>
      <t>6525 Garbage and Trash Removal.</t>
    </r>
    <r>
      <rPr>
        <sz val="14"/>
        <rFont val="CG Omega (W1)"/>
      </rPr>
      <t xml:space="preserve"> This account records the cost of removing garbage and rubbish from the project.  The account does not include salaries paid to janitors who collect the trash.</t>
    </r>
  </si>
  <si>
    <r>
      <rPr>
        <u/>
        <sz val="14"/>
        <rFont val="CG Omega (W1)"/>
      </rPr>
      <t>6530 Security Payroll/Contract.</t>
    </r>
    <r>
      <rPr>
        <sz val="14"/>
        <rFont val="CG Omega (W1)"/>
      </rPr>
      <t xml:space="preserve"> This account records the project's payroll costs attributable to the protection of the project or the costs of a protection contract that the owner or agent executes on behalf of the project.</t>
    </r>
  </si>
  <si>
    <r>
      <rPr>
        <u/>
        <sz val="14"/>
        <rFont val="CG Omega (W1)"/>
      </rPr>
      <t>6570 Vehicle and Maintenance Equipment Operation and Repairs.</t>
    </r>
    <r>
      <rPr>
        <sz val="14"/>
        <rFont val="CG Omega (W1)"/>
      </rPr>
      <t xml:space="preserve"> This account records the cost of operating and repairing project motor vehicles and maintenance equipment. Motor vehicle insurance is not included in this account but is charged to account 6720.</t>
    </r>
  </si>
  <si>
    <t>Supportive Services</t>
  </si>
  <si>
    <r>
      <rPr>
        <u/>
        <sz val="14"/>
        <rFont val="CG Omega (W1)"/>
      </rPr>
      <t>6900 Supportive Service Expenses.</t>
    </r>
    <r>
      <rPr>
        <sz val="14"/>
        <rFont val="CG Omega (W1)"/>
      </rPr>
      <t xml:space="preserve"> Accounts in this series are used primarily by group home projects and other projects restricted to a special needs population.  The accounts record expenses directly related to special services provided to the tenants (e.g., food, housekeeping, case managers, social activity coordinator, etc.).</t>
    </r>
  </si>
  <si>
    <r>
      <t xml:space="preserve">C.                  </t>
    </r>
    <r>
      <rPr>
        <b/>
        <sz val="14"/>
        <rFont val="Arial"/>
        <family val="2"/>
      </rPr>
      <t/>
    </r>
  </si>
  <si>
    <r>
      <rPr>
        <b/>
        <sz val="14"/>
        <rFont val="Arial"/>
        <family val="2"/>
      </rPr>
      <t>Row Number.</t>
    </r>
    <r>
      <rPr>
        <sz val="14"/>
        <rFont val="Arial"/>
        <family val="2"/>
      </rPr>
      <t xml:space="preserve">  Do not enter data in this column. </t>
    </r>
  </si>
  <si>
    <r>
      <t xml:space="preserve">D.                  </t>
    </r>
    <r>
      <rPr>
        <b/>
        <sz val="14"/>
        <rFont val="Arial"/>
        <family val="2"/>
      </rPr>
      <t/>
    </r>
  </si>
  <si>
    <r>
      <rPr>
        <b/>
        <sz val="14"/>
        <rFont val="Arial"/>
        <family val="2"/>
      </rPr>
      <t>Unit No.</t>
    </r>
    <r>
      <rPr>
        <sz val="14"/>
        <rFont val="Arial"/>
        <family val="2"/>
      </rPr>
      <t xml:space="preserve"> Enter the unit number (or bed number for transitional or group housing) for each unit/bed in the property.</t>
    </r>
  </si>
  <si>
    <t xml:space="preserve">F.                </t>
  </si>
  <si>
    <r>
      <rPr>
        <b/>
        <sz val="14"/>
        <rFont val="Arial"/>
        <family val="2"/>
      </rPr>
      <t>Date of Initial Occupancy.</t>
    </r>
    <r>
      <rPr>
        <sz val="14"/>
        <rFont val="Arial"/>
        <family val="2"/>
      </rPr>
      <t xml:space="preserve"> Enter the date when the tenant occupied their </t>
    </r>
    <r>
      <rPr>
        <i/>
        <sz val="14"/>
        <rFont val="Arial"/>
        <family val="2"/>
      </rPr>
      <t>first unit in the project</t>
    </r>
    <r>
      <rPr>
        <sz val="14"/>
        <rFont val="Arial"/>
        <family val="2"/>
      </rPr>
      <t>.  For tenants who 
have transferred to another unit in the project, this date will be different than the date when they moved into their 
current unit.</t>
    </r>
  </si>
  <si>
    <r>
      <t>G.</t>
    </r>
    <r>
      <rPr>
        <b/>
        <sz val="14"/>
        <rFont val="Arial"/>
        <family val="2"/>
      </rPr>
      <t/>
    </r>
  </si>
  <si>
    <r>
      <t xml:space="preserve">H.          </t>
    </r>
    <r>
      <rPr>
        <b/>
        <sz val="14"/>
        <rFont val="Arial"/>
        <family val="2"/>
      </rPr>
      <t/>
    </r>
  </si>
  <si>
    <r>
      <t xml:space="preserve">I.                 </t>
    </r>
    <r>
      <rPr>
        <b/>
        <sz val="14"/>
        <rFont val="Arial"/>
        <family val="2"/>
      </rPr>
      <t/>
    </r>
  </si>
  <si>
    <r>
      <rPr>
        <b/>
        <sz val="14"/>
        <rFont val="Arial"/>
        <family val="2"/>
      </rPr>
      <t>Household Size at Initial Occupancy.</t>
    </r>
    <r>
      <rPr>
        <sz val="14"/>
        <rFont val="Arial"/>
        <family val="2"/>
      </rPr>
      <t xml:space="preserve"> Enter the number of people that was in the tenant’s household when they 
occupied their first unit in the project.  For tenants who have transferred to another unit in the project, this number may be different than it was when they moved into their current unit.</t>
    </r>
  </si>
  <si>
    <r>
      <t>J.               </t>
    </r>
    <r>
      <rPr>
        <b/>
        <sz val="14"/>
        <rFont val="Arial"/>
        <family val="2"/>
      </rPr>
      <t/>
    </r>
  </si>
  <si>
    <r>
      <t xml:space="preserve">K.               </t>
    </r>
    <r>
      <rPr>
        <b/>
        <sz val="14"/>
        <rFont val="Arial"/>
        <family val="2"/>
      </rPr>
      <t/>
    </r>
  </si>
  <si>
    <r>
      <t>L.               </t>
    </r>
    <r>
      <rPr>
        <b/>
        <sz val="14"/>
        <rFont val="Arial"/>
        <family val="2"/>
      </rPr>
      <t/>
    </r>
  </si>
  <si>
    <r>
      <rPr>
        <b/>
        <sz val="14"/>
        <rFont val="Arial"/>
        <family val="2"/>
      </rPr>
      <t>Number of Children Under Age 18 in Household.</t>
    </r>
    <r>
      <rPr>
        <sz val="14"/>
        <rFont val="Arial"/>
        <family val="2"/>
      </rPr>
      <t xml:space="preserve"> Enter the number of occupants in the unit that were under age 18 as of the end date of the reporting period.</t>
    </r>
  </si>
  <si>
    <r>
      <rPr>
        <b/>
        <sz val="14"/>
        <rFont val="Arial"/>
        <family val="2"/>
      </rPr>
      <t>Elderly Household.</t>
    </r>
    <r>
      <rPr>
        <sz val="14"/>
        <rFont val="Arial"/>
        <family val="2"/>
      </rPr>
      <t xml:space="preserve">  For each residential unit, enter "Yes" if the head of household is a person that is at least 62 years of age. Enter "No" if the head of the household is younger than 62.
</t>
    </r>
  </si>
  <si>
    <r>
      <rPr>
        <b/>
        <sz val="14"/>
        <rFont val="Arial"/>
        <family val="2"/>
      </rPr>
      <t>Rental Assistance.</t>
    </r>
    <r>
      <rPr>
        <sz val="14"/>
        <rFont val="Arial"/>
        <family val="2"/>
      </rPr>
      <t xml:space="preserve"> From the drop-down menu, select one code only to indicate the type of assistance, if any, being provided to the tenant (low-income units only).   Select "None" if no rental assistance comes with the unit or none is provided to the tenant.</t>
    </r>
  </si>
  <si>
    <r>
      <t xml:space="preserve">“Section 8 - Project Based” </t>
    </r>
    <r>
      <rPr>
        <sz val="14"/>
        <rFont val="Arial"/>
        <family val="2"/>
      </rPr>
      <t>= The unit comes with Section 8 subsidy that will remain with the unit after the tenant moves out.</t>
    </r>
  </si>
  <si>
    <r>
      <t xml:space="preserve">“Section 8 - Tenant Voucher” </t>
    </r>
    <r>
      <rPr>
        <sz val="14"/>
        <rFont val="Arial"/>
        <family val="2"/>
      </rPr>
      <t>= Tenant is receiving assistance through the Section 8 Certificate or Voucher programs.</t>
    </r>
  </si>
  <si>
    <r>
      <t xml:space="preserve">“S+C” </t>
    </r>
    <r>
      <rPr>
        <sz val="14"/>
        <rFont val="Arial"/>
        <family val="2"/>
      </rPr>
      <t>= Tenant is receiving tenant-based assistance, or the unit has project-based assistance, from the Shelter Plus Care program.</t>
    </r>
  </si>
  <si>
    <r>
      <t xml:space="preserve">“VASH” = </t>
    </r>
    <r>
      <rPr>
        <sz val="14"/>
        <rFont val="Arial"/>
        <family val="2"/>
      </rPr>
      <t>Tenant is receiving tenant-based assistance, or the unit comes with project-based rental assistance, from the Veterans Administration Supportive Housing program.</t>
    </r>
  </si>
  <si>
    <r>
      <t xml:space="preserve">“Other” </t>
    </r>
    <r>
      <rPr>
        <sz val="14"/>
        <rFont val="Arial"/>
        <family val="2"/>
      </rPr>
      <t xml:space="preserve"> = Tenant is receiving, or unit comes with, rental assistance through another Federal, State or local program.</t>
    </r>
  </si>
  <si>
    <r>
      <rPr>
        <b/>
        <sz val="14"/>
        <rFont val="Arial"/>
        <family val="2"/>
      </rPr>
      <t>Unit Type.</t>
    </r>
    <r>
      <rPr>
        <sz val="14"/>
        <rFont val="Arial"/>
        <family val="2"/>
      </rPr>
      <t xml:space="preserve"> Use the drop down menu to select the unit type (also shown below):</t>
    </r>
  </si>
  <si>
    <r>
      <rPr>
        <b/>
        <sz val="14"/>
        <rFont val="Arial"/>
        <family val="2"/>
      </rPr>
      <t>Amount of Maximum Gross Rent Allowed for Unit.</t>
    </r>
    <r>
      <rPr>
        <sz val="14"/>
        <rFont val="Arial"/>
        <family val="2"/>
      </rPr>
      <t xml:space="preserve"> Enter the maximum rent for the unit that is allowed by the most restrictive funder of the project.   </t>
    </r>
  </si>
  <si>
    <r>
      <rPr>
        <b/>
        <sz val="14"/>
        <rFont val="Arial"/>
        <family val="2"/>
      </rPr>
      <t>Amount of Tenant Paid Rent for Unit.</t>
    </r>
    <r>
      <rPr>
        <sz val="14"/>
        <rFont val="Arial"/>
        <family val="2"/>
      </rPr>
      <t xml:space="preserve">  Enter only the amount of rent that the tenant pays.  Do not include any rental assistance paid on behalf of the tenant by another party.</t>
    </r>
  </si>
  <si>
    <r>
      <rPr>
        <b/>
        <sz val="14"/>
        <rFont val="Arial"/>
        <family val="2"/>
      </rPr>
      <t xml:space="preserve">Percentage of Most Recent Rent Increase. </t>
    </r>
    <r>
      <rPr>
        <sz val="14"/>
        <rFont val="Arial"/>
        <family val="2"/>
      </rPr>
      <t xml:space="preserve"> THIS IS A SELF-CALCULATING CELL - ENTER NO DATA HERE.</t>
    </r>
  </si>
  <si>
    <r>
      <t xml:space="preserve">Bed </t>
    </r>
    <r>
      <rPr>
        <sz val="14"/>
        <rFont val="Arial"/>
        <family val="2"/>
      </rPr>
      <t>=  (measurement for Group homes or transitional housing)</t>
    </r>
  </si>
  <si>
    <r>
      <t xml:space="preserve"> “SRO”</t>
    </r>
    <r>
      <rPr>
        <sz val="14"/>
        <rFont val="Arial"/>
        <family val="2"/>
      </rPr>
      <t xml:space="preserve"> = Single Room Occupancy unit</t>
    </r>
  </si>
  <si>
    <r>
      <t xml:space="preserve">"Studio” </t>
    </r>
    <r>
      <rPr>
        <sz val="14"/>
        <rFont val="Arial"/>
        <family val="2"/>
      </rPr>
      <t>= Studio unit</t>
    </r>
  </si>
  <si>
    <r>
      <t xml:space="preserve">“1BR” </t>
    </r>
    <r>
      <rPr>
        <sz val="14"/>
        <rFont val="Arial"/>
        <family val="2"/>
      </rPr>
      <t>= 1 Bedroom unit</t>
    </r>
  </si>
  <si>
    <r>
      <t xml:space="preserve">“2BR” </t>
    </r>
    <r>
      <rPr>
        <sz val="14"/>
        <rFont val="Arial"/>
        <family val="2"/>
      </rPr>
      <t>= 2 Bedroom unit</t>
    </r>
  </si>
  <si>
    <r>
      <t xml:space="preserve">“3BR” </t>
    </r>
    <r>
      <rPr>
        <sz val="14"/>
        <rFont val="Arial"/>
        <family val="2"/>
      </rPr>
      <t>= 3 Bedroom unit</t>
    </r>
  </si>
  <si>
    <r>
      <t xml:space="preserve"> “4BR”</t>
    </r>
    <r>
      <rPr>
        <sz val="14"/>
        <rFont val="Arial"/>
        <family val="2"/>
      </rPr>
      <t xml:space="preserve"> = 4 Bedroom unit</t>
    </r>
  </si>
  <si>
    <t>Reserve Account Activity</t>
  </si>
  <si>
    <t>Single Room Occupancy (SRO) Units</t>
  </si>
  <si>
    <t>Number Of Units</t>
  </si>
  <si>
    <t>Unit Types</t>
  </si>
  <si>
    <t>Household Annual Income AT INITIAL OCCUPANCY</t>
  </si>
  <si>
    <t>Date of INITIAL OCCUPANCY (m/d/yyyy)</t>
  </si>
  <si>
    <t xml:space="preserve">Household Size AT INITIAL OCCUPANCY (number)       </t>
  </si>
  <si>
    <t>Min Occupancy for Unit Type (per data entered on worksheet 1A)</t>
  </si>
  <si>
    <t>Max Occupancy for Unit Type (per data entered on worksheet 1A)</t>
  </si>
  <si>
    <t>*Occupancy Standards should be described in project's Approved Tenant Selection and Marketing Plan. If not defined there, supply the standards used organization-wide.</t>
  </si>
  <si>
    <t xml:space="preserve">E.                  </t>
  </si>
  <si>
    <r>
      <rPr>
        <b/>
        <sz val="14"/>
        <rFont val="Arial"/>
        <family val="2"/>
      </rPr>
      <t>Household Annual Income at Initial Occupancy.</t>
    </r>
    <r>
      <rPr>
        <sz val="14"/>
        <rFont val="Arial"/>
        <family val="2"/>
      </rPr>
      <t xml:space="preserve"> Enter the tenant’s annual household income from the initial income certification that was done before they moved into their </t>
    </r>
    <r>
      <rPr>
        <i/>
        <sz val="14"/>
        <rFont val="Arial"/>
        <family val="2"/>
      </rPr>
      <t>first unit in the project</t>
    </r>
    <r>
      <rPr>
        <sz val="14"/>
        <rFont val="Arial"/>
        <family val="2"/>
      </rPr>
      <t>.  For tenants who have transferred to another unit in the project, this amount will be different than the amount from the rertification that was done when they moved into their current unit.</t>
    </r>
  </si>
  <si>
    <t xml:space="preserve">M.              
                    </t>
  </si>
  <si>
    <t xml:space="preserve">N.               </t>
  </si>
  <si>
    <t xml:space="preserve">O.             </t>
  </si>
  <si>
    <t xml:space="preserve">P.              </t>
  </si>
  <si>
    <t xml:space="preserve">R.              </t>
  </si>
  <si>
    <t>S.</t>
  </si>
  <si>
    <t>T.</t>
  </si>
  <si>
    <r>
      <t>“DAH (DPH)”</t>
    </r>
    <r>
      <rPr>
        <sz val="14"/>
        <rFont val="Arial"/>
        <family val="2"/>
      </rPr>
      <t xml:space="preserve"> = The unit receives a subsidy through the City's Direct Access to Housing Program of DPH.</t>
    </r>
  </si>
  <si>
    <r>
      <t>“HSA Master Lease”</t>
    </r>
    <r>
      <rPr>
        <sz val="14"/>
        <rFont val="Arial"/>
        <family val="2"/>
      </rPr>
      <t xml:space="preserve"> = The unit receives a subsidy through the City's Master Lease Program of the Human Services Agency.</t>
    </r>
  </si>
  <si>
    <t>U.</t>
  </si>
  <si>
    <r>
      <rPr>
        <b/>
        <sz val="14"/>
        <rFont val="Arial"/>
        <family val="2"/>
      </rPr>
      <t>Amount of Rental Assistance.</t>
    </r>
    <r>
      <rPr>
        <sz val="14"/>
        <rFont val="Arial"/>
        <family val="2"/>
      </rPr>
      <t xml:space="preserve">  Enter the dollar amount of rental assistance that is paid on behalf of the household/tenant. </t>
    </r>
  </si>
  <si>
    <t>Amount of Maximum Gross Rent Allowed for Unit
(enter $0 if n/a)</t>
  </si>
  <si>
    <r>
      <rPr>
        <b/>
        <sz val="14"/>
        <rFont val="Arial"/>
        <family val="2"/>
      </rPr>
      <t>Date of Most Recent Rent Increase within the Reporting Period.</t>
    </r>
    <r>
      <rPr>
        <sz val="14"/>
        <rFont val="Arial"/>
        <family val="2"/>
      </rPr>
      <t xml:space="preserve"> ONLY FOR UNITS THAT DO NOT HAVE RENTAL ASSISTANCE OR SUBSIDY. Enter date of most recent rent increase for unit.</t>
    </r>
  </si>
  <si>
    <r>
      <rPr>
        <b/>
        <sz val="14"/>
        <rFont val="Arial"/>
        <family val="2"/>
      </rPr>
      <t>Amount of Most Recent Rent Increase within the Reporting Period.</t>
    </r>
    <r>
      <rPr>
        <sz val="14"/>
        <rFont val="Arial"/>
        <family val="2"/>
      </rPr>
      <t xml:space="preserve"> ONLY FOR UNITS THAT DO NOT HAVE RENTAL ASSISTANCE OR SUBSIDY. Enter amount of most recent rent increase for unit.</t>
    </r>
  </si>
  <si>
    <t>Studio Units</t>
  </si>
  <si>
    <t>Four-Bedroom (4BR)  Units</t>
  </si>
  <si>
    <t>Three-Bedroom (3BR) Units</t>
  </si>
  <si>
    <t>Two-Bedroom (2BR) Units</t>
  </si>
  <si>
    <t>One-Bedroom (1BR) Units</t>
  </si>
  <si>
    <t>Five- or More (5+BR) Bedroom Units</t>
  </si>
  <si>
    <t>Is the Household Overhoused 
or 
Overcrowded?</t>
  </si>
  <si>
    <r>
      <t xml:space="preserve">Overhoused or Overcrowded - Narrative  </t>
    </r>
    <r>
      <rPr>
        <sz val="14"/>
        <rFont val="Arial"/>
        <family val="2"/>
      </rPr>
      <t>A household is “Overhoused” if there are fewer people residing in the unit than the minumum occupancy.  “Overcrowded” means that there are more people residing in the unit than the maximum occupancy.  If the data in column N indicates that the household is overhoused or overcrowded, please describe any extenuating circumstances that justify the overhoused/overcrowded status and summarize efforts that you have made to transfer the tenant to a unit that is appropriate for the size of the household, if applicable.</t>
    </r>
  </si>
  <si>
    <t>Occupancy Standard: Minimum 
HH Size for this Unit Type*</t>
  </si>
  <si>
    <t>Occupancy Standard: Maximum 
HH Size for this Unit Type*</t>
  </si>
  <si>
    <t/>
  </si>
  <si>
    <t>checklist formula is in this row, do not delete</t>
  </si>
  <si>
    <t>Overhoused / Overcrowded – Narrative.  
(Explanation required for each row where indicator is displayed in Column N and Col O cell shows no highlighting. Describe any extenuating circumstances that justify the Overhoused/Overcrowded status; summarize efforts made to transfer HH to unit of appropriate size.)</t>
  </si>
  <si>
    <t>Total RR-Eligible Expenditures---&gt;</t>
  </si>
  <si>
    <t>Paid Directly from Replacement Reserve</t>
  </si>
  <si>
    <r>
      <t xml:space="preserve">TOTAL REPLACEMENT RESERVE ELIGIBLE EXPENDITURES: </t>
    </r>
    <r>
      <rPr>
        <sz val="9"/>
        <rFont val="Arial"/>
        <family val="2"/>
      </rPr>
      <t>the Replacement Reserve Withdrawal for the reporting period should not exceed the Total RR-eligible Expenditures. You must provide more details above or an explanation below if the RR withdrawal amount exceeds the Total RR-Eligible Expenditures.</t>
    </r>
  </si>
  <si>
    <t>Notes About RR Withdrawal Amount in excess of Total RR-eligible Expenditures:</t>
  </si>
  <si>
    <t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t>
  </si>
  <si>
    <t>Popltn_SeniorHsg_Target</t>
  </si>
  <si>
    <t>Popltn_SeniorHsg_Actual</t>
  </si>
  <si>
    <t>Popltn_SubstanceAbuse_Target</t>
  </si>
  <si>
    <t>Popltn_SubstanceAbuse_Actual</t>
  </si>
  <si>
    <t>Popltn_DVSurvivor_Target</t>
  </si>
  <si>
    <t>Popltn_DVSurvivor_Actual</t>
  </si>
  <si>
    <t>Popltn_Veterans_Target</t>
  </si>
  <si>
    <t>Popltn_Veterans_Actual</t>
  </si>
  <si>
    <t>Popltn_FormerIncarcerate_Target</t>
  </si>
  <si>
    <t>Popltn_FormerIncarcerate_Actual</t>
  </si>
  <si>
    <t>NumEvictionsRptgPer</t>
  </si>
  <si>
    <t>AvgDaysVacantUnitRentUp</t>
  </si>
  <si>
    <t>WaitingList_NumNamesOn</t>
  </si>
  <si>
    <t>WaitingList_DateOfLastUpdate</t>
  </si>
  <si>
    <t>NumViolationsIssuedRptgPer</t>
  </si>
  <si>
    <t>NumViolationsOpenFromPriorPer</t>
  </si>
  <si>
    <t>NumViolationsClearedDuringRptgYr</t>
  </si>
  <si>
    <t>AnyMajorRepairsNeeded_YN</t>
  </si>
  <si>
    <t>NegCashFlow</t>
  </si>
  <si>
    <t>VacancyRate</t>
  </si>
  <si>
    <t>VacantUnitRentUpTime</t>
  </si>
  <si>
    <t>Aff Mktg</t>
  </si>
  <si>
    <t>MajorRepairs</t>
  </si>
  <si>
    <t>NumStudios</t>
  </si>
  <si>
    <t>Num5BR</t>
  </si>
  <si>
    <t>ppt supervisor  name</t>
  </si>
  <si>
    <t>ppt supervisor  phone</t>
  </si>
  <si>
    <t>ppt supervisor  email</t>
  </si>
  <si>
    <t>NumVacancies</t>
  </si>
  <si>
    <t>TransitionalShelterGroupHome</t>
  </si>
  <si>
    <t>MaxCapDay1-Singles</t>
  </si>
  <si>
    <t>MaxCapDay1-Families</t>
  </si>
  <si>
    <t>MaxCapDay1-AdultsInFams</t>
  </si>
  <si>
    <t>MaxCapDay1-KidsInFams</t>
  </si>
  <si>
    <t>MaxCapacityByHH</t>
  </si>
  <si>
    <t>HHsSrvdDay1-Singles</t>
  </si>
  <si>
    <t>HHsSrvdDay1-Families</t>
  </si>
  <si>
    <t>HHsSrvdDay1-AdultsInFams</t>
  </si>
  <si>
    <t>HHsSrvdDay1-KidsInFams</t>
  </si>
  <si>
    <t>HHsEnter-Singles</t>
  </si>
  <si>
    <t>HHsEnter-Families</t>
  </si>
  <si>
    <t>HHsEnter-AdultsInFams</t>
  </si>
  <si>
    <t>HHsEnter-KidsInFams</t>
  </si>
  <si>
    <t>HHsSrvd-Total</t>
  </si>
  <si>
    <t>HHsLeft-Singles</t>
  </si>
  <si>
    <t>HHsLeft-Families</t>
  </si>
  <si>
    <t>HHsleft-AdultsInFams</t>
  </si>
  <si>
    <t>HHsLeft-KidsInFams</t>
  </si>
  <si>
    <t>HHsLastDay-Singles</t>
  </si>
  <si>
    <t>HHsLastDay-Families</t>
  </si>
  <si>
    <t>HHsLastDay-AdultsInFams</t>
  </si>
  <si>
    <t>HHsLastDay-KidsInFams</t>
  </si>
  <si>
    <t>HHsLastDay-Total</t>
  </si>
  <si>
    <t>CapacityUtilizRate</t>
  </si>
  <si>
    <t>CapUtlizRateLowReason</t>
  </si>
  <si>
    <t>CapUtilizRateLowRemedy</t>
  </si>
  <si>
    <t>LenghtStay1MonthOrLess</t>
  </si>
  <si>
    <t>LenghtStay1to2months</t>
  </si>
  <si>
    <t>LenghtStay3to6months</t>
  </si>
  <si>
    <t>LenghtStay7to12months</t>
  </si>
  <si>
    <t>LenghtStay13to24months</t>
  </si>
  <si>
    <t>LenghtStay25to36months</t>
  </si>
  <si>
    <t>LenghtStayTotHHsThatLeft</t>
  </si>
  <si>
    <t>Destination_RentalNoSubsidy</t>
  </si>
  <si>
    <t>Destination_PublicHousing</t>
  </si>
  <si>
    <t>Destination_Sect8Voucher</t>
  </si>
  <si>
    <t>Destination_RentalSubsidized</t>
  </si>
  <si>
    <t>Destination_Homeownership</t>
  </si>
  <si>
    <t>Destination_MovedWithOthersPerm</t>
  </si>
  <si>
    <t>Destination_PermHsgTotal</t>
  </si>
  <si>
    <t>Destination_Transitional</t>
  </si>
  <si>
    <t>Destination_MovedWithOthersTemp</t>
  </si>
  <si>
    <t>Destination_TransitionalTotal</t>
  </si>
  <si>
    <t>Destination_PsychHospital</t>
  </si>
  <si>
    <t>Destination_TreatmentPgm</t>
  </si>
  <si>
    <t>Destination_JailPrison</t>
  </si>
  <si>
    <t>Destination_Medical</t>
  </si>
  <si>
    <t>Destination_InstitutionalTotal</t>
  </si>
  <si>
    <t>Destination_EmergencyShelter</t>
  </si>
  <si>
    <t>Destination_NotMeantForHabitation</t>
  </si>
  <si>
    <t>Destination_Unknown</t>
  </si>
  <si>
    <t>Destination_Other</t>
  </si>
  <si>
    <t>Destination_OtherTotal</t>
  </si>
  <si>
    <t>Destination_TotalHHsThatLeft</t>
  </si>
  <si>
    <t>Licensed Day Care Service (participant fees are allowable for day care ONLY)  (y/n)</t>
  </si>
  <si>
    <t xml:space="preserve">Educational Classes (e.g. basic skills, computer training, learning language)  (y/n) </t>
  </si>
  <si>
    <t xml:space="preserve"> Case Management, Information and Referrals (y/n)</t>
  </si>
  <si>
    <t>Occup_Min_2BR</t>
  </si>
  <si>
    <t>Occup_Min_3BR</t>
  </si>
  <si>
    <t>Occup_Min_4BR</t>
  </si>
  <si>
    <t>Occup_Min_5+BR</t>
  </si>
  <si>
    <t>Occup_Max_SRO</t>
  </si>
  <si>
    <t>Occup_Max_Studio</t>
  </si>
  <si>
    <t>Occup_Max_1BR</t>
  </si>
  <si>
    <t>Occup_Max_2BR</t>
  </si>
  <si>
    <t>Occup_Max_3BR</t>
  </si>
  <si>
    <t>Occup_Max_4BR</t>
  </si>
  <si>
    <t>Occup_Max_5+BR</t>
  </si>
  <si>
    <t>ws3status</t>
  </si>
  <si>
    <t>Narrative Provided for All rows indicating Overhoused or Overcrowded?</t>
  </si>
  <si>
    <t>narrative check is here--&gt;</t>
  </si>
  <si>
    <t>&lt;---Unit Tally Match is here</t>
  </si>
  <si>
    <t>Subsidy Type &amp; Util Allow check is here--&gt;</t>
  </si>
  <si>
    <t>TOTAL # Units----&gt;</t>
  </si>
  <si>
    <r>
      <rPr>
        <b/>
        <sz val="14"/>
        <rFont val="Arial"/>
        <family val="2"/>
      </rPr>
      <t>Utility Allowance.</t>
    </r>
    <r>
      <rPr>
        <sz val="14"/>
        <rFont val="Arial"/>
        <family val="2"/>
      </rPr>
      <t xml:space="preserve"> If the tenant pays for utilities, enter the Utility Allowance allowed for the unit. Enter zero (0) if the Utilities are paid by the project.   </t>
    </r>
  </si>
  <si>
    <r>
      <t>Vacant Unit Rent-Up Time -</t>
    </r>
    <r>
      <rPr>
        <sz val="14"/>
        <rFont val="Arial"/>
        <family val="2"/>
      </rPr>
      <t xml:space="preserve"> </t>
    </r>
    <r>
      <rPr>
        <i/>
        <sz val="14"/>
        <rFont val="Arial"/>
        <family val="2"/>
      </rPr>
      <t>(in DAYS)</t>
    </r>
    <r>
      <rPr>
        <sz val="14"/>
        <rFont val="Arial"/>
        <family val="2"/>
      </rPr>
      <t xml:space="preserve"> State the average vacant unit rent-up time. This is the period from the time a household moves out to when the unit is rented again.  </t>
    </r>
    <r>
      <rPr>
        <sz val="14"/>
        <color indexed="10"/>
        <rFont val="Arial"/>
        <family val="2"/>
      </rPr>
      <t xml:space="preserve">If this period exceeds 30 days, you must answer Question # 4 on the Narrative worksheet. </t>
    </r>
    <r>
      <rPr>
        <i/>
        <sz val="14"/>
        <color indexed="10"/>
        <rFont val="Arial"/>
        <family val="2"/>
      </rPr>
      <t>(Click on # 4 at left to jump to Narrative worksheet.)</t>
    </r>
  </si>
  <si>
    <r>
      <t xml:space="preserve">Affirmative Marketing - </t>
    </r>
    <r>
      <rPr>
        <sz val="14"/>
        <rFont val="Arial"/>
        <family val="2"/>
      </rPr>
      <t xml:space="preserve">Did you conduct any marketing of the project during the reporting period?  </t>
    </r>
    <r>
      <rPr>
        <sz val="14"/>
        <color indexed="10"/>
        <rFont val="Arial"/>
        <family val="2"/>
      </rPr>
      <t xml:space="preserve">If you conducted marketing during the reporting period, you must answer Question #5 on the Narrative worksheet.  </t>
    </r>
    <r>
      <rPr>
        <i/>
        <sz val="14"/>
        <color indexed="10"/>
        <rFont val="Arial"/>
        <family val="2"/>
      </rPr>
      <t>(Click on #5 at left to jump to Narrative worksheet.)</t>
    </r>
  </si>
  <si>
    <t>Rental Assistance Payments (identify ALL sources in row below if applicable, including LOSP funding)</t>
  </si>
  <si>
    <t>&lt;&lt;&lt; Must match LOSP Disbursement Form !</t>
  </si>
  <si>
    <r>
      <t xml:space="preserve">Household Annual Income as of Most Recent Recertification </t>
    </r>
    <r>
      <rPr>
        <b/>
        <sz val="8"/>
        <rFont val="Arial"/>
        <family val="2"/>
      </rPr>
      <t>WITHIN REPORTING PERIOD</t>
    </r>
  </si>
  <si>
    <r>
      <t xml:space="preserve">Household Size (number) as of Most Recent Recertification </t>
    </r>
    <r>
      <rPr>
        <b/>
        <sz val="8"/>
        <rFont val="Arial"/>
        <family val="2"/>
      </rPr>
      <t>WITHIN REPORTING PERIOD</t>
    </r>
  </si>
  <si>
    <r>
      <t xml:space="preserve">Date Of Most Recent Income Recertification </t>
    </r>
    <r>
      <rPr>
        <b/>
        <sz val="8"/>
        <rFont val="Arial"/>
        <family val="2"/>
      </rPr>
      <t>WITHIN REPORTING PERIOD</t>
    </r>
    <r>
      <rPr>
        <sz val="8"/>
        <rFont val="Arial"/>
        <family val="2"/>
      </rPr>
      <t xml:space="preserve"> (m/d/yyyy)</t>
    </r>
  </si>
  <si>
    <r>
      <rPr>
        <b/>
        <sz val="14"/>
        <rFont val="Arial"/>
        <family val="2"/>
      </rPr>
      <t>Date of Most Recent Income Recertification.</t>
    </r>
    <r>
      <rPr>
        <sz val="14"/>
        <rFont val="Arial"/>
        <family val="2"/>
      </rPr>
      <t xml:space="preserve"> Enter date of most recent income recertification. Leave blank for vacant units.</t>
    </r>
  </si>
  <si>
    <r>
      <rPr>
        <b/>
        <sz val="14"/>
        <rFont val="Arial"/>
        <family val="2"/>
      </rPr>
      <t>Household Annual Income as of Most Recent Recertification within reporting period.</t>
    </r>
    <r>
      <rPr>
        <sz val="14"/>
        <rFont val="Arial"/>
        <family val="2"/>
      </rPr>
      <t xml:space="preserve"> Enter annual income of  the household from the most recent recertification.  OK to leave blank ONLY if ALL funders do not require annual income recertifications.</t>
    </r>
  </si>
  <si>
    <r>
      <rPr>
        <b/>
        <sz val="14"/>
        <rFont val="Arial"/>
        <family val="2"/>
      </rPr>
      <t>Household Size as of Most Recent Recertification within reporting period.</t>
    </r>
    <r>
      <rPr>
        <sz val="14"/>
        <rFont val="Arial"/>
        <family val="2"/>
      </rPr>
      <t xml:space="preserve"> Enter the number of occupants in the unit from the most recent recertificaion within the reporting period.</t>
    </r>
  </si>
  <si>
    <r>
      <t xml:space="preserve">Vacancy Loss - enter amounts </t>
    </r>
    <r>
      <rPr>
        <b/>
        <sz val="10"/>
        <color rgb="FFFF0000"/>
        <rFont val="Arial"/>
        <family val="2"/>
      </rPr>
      <t>as negative numbers!</t>
    </r>
  </si>
  <si>
    <t xml:space="preserve">Breach of Lease Agreement </t>
  </si>
  <si>
    <t xml:space="preserve">Denial of Access to Unit </t>
  </si>
  <si>
    <t>Failure to Sign Lease Renewal</t>
  </si>
  <si>
    <t xml:space="preserve">Habitual Late Payment of Rent </t>
  </si>
  <si>
    <t xml:space="preserve">Illegal Use of Unit </t>
  </si>
  <si>
    <t xml:space="preserve">Non-payment of Rent </t>
  </si>
  <si>
    <t xml:space="preserve">Nuisance </t>
  </si>
  <si>
    <t xml:space="preserve">Other </t>
  </si>
  <si>
    <t xml:space="preserve">Unapproved Subtenant </t>
  </si>
  <si>
    <t>Capital Improvement</t>
  </si>
  <si>
    <t xml:space="preserve">Condo Conversion </t>
  </si>
  <si>
    <t xml:space="preserve">Demolition </t>
  </si>
  <si>
    <t>Development Agreement</t>
  </si>
  <si>
    <t xml:space="preserve">Ellis Act Withdrawal </t>
  </si>
  <si>
    <t>Good Samaritan Tenancy Ends</t>
  </si>
  <si>
    <t xml:space="preserve">Lead Remediation </t>
  </si>
  <si>
    <t>Owner Move In</t>
  </si>
  <si>
    <t xml:space="preserve">Roommate Living in Same Unit </t>
  </si>
  <si>
    <t xml:space="preserve">Substantial Rehabilitation </t>
  </si>
  <si>
    <t>Total number of households who received Notices of Eviction</t>
  </si>
  <si>
    <t>Total number of unlawful detainer actions filed</t>
  </si>
  <si>
    <t>Number of households who lived in the project during the reporting period:</t>
  </si>
  <si>
    <t>NoticeBreach</t>
  </si>
  <si>
    <t>NoticeCapImpvmt</t>
  </si>
  <si>
    <t>NoticeCondoConv</t>
  </si>
  <si>
    <t>NoticeDemo</t>
  </si>
  <si>
    <t>NoticeDenialofAccess</t>
  </si>
  <si>
    <t>NoticeDevAgmt</t>
  </si>
  <si>
    <t>NoticeEllisAct</t>
  </si>
  <si>
    <t>NoticeFailuretoRenew</t>
  </si>
  <si>
    <t>NoticeGoodSamTenEnds</t>
  </si>
  <si>
    <t>NoticeHabLatePmt</t>
  </si>
  <si>
    <t>NoticeLeadRemed</t>
  </si>
  <si>
    <t>NoticeNonPmt</t>
  </si>
  <si>
    <t>NoticeNuisance</t>
  </si>
  <si>
    <t>NoticeOther</t>
  </si>
  <si>
    <t>NoticeOwnerMI</t>
  </si>
  <si>
    <t>NoticeRoommate</t>
  </si>
  <si>
    <t>NoticeSubstRehab</t>
  </si>
  <si>
    <t>NoticeUnappSubtenant</t>
  </si>
  <si>
    <t>NoticeIllegalUse</t>
  </si>
  <si>
    <t>DetainerBreach</t>
  </si>
  <si>
    <t>DetainerCapImpvmt</t>
  </si>
  <si>
    <t>DetainerCondoConv</t>
  </si>
  <si>
    <t>DetainerDemo</t>
  </si>
  <si>
    <t>DetainerDenialofAccess</t>
  </si>
  <si>
    <t>DetainerDevAgmt</t>
  </si>
  <si>
    <t>DetainerEllisAct</t>
  </si>
  <si>
    <t>DetainerFailuretoRenew</t>
  </si>
  <si>
    <t>DetainerGoodSamTenEnds</t>
  </si>
  <si>
    <t>DetainerHabLatePmt</t>
  </si>
  <si>
    <t>DetainerIllegalUse</t>
  </si>
  <si>
    <t>DetainerLeadRemed</t>
  </si>
  <si>
    <t>DetainerNonPmt</t>
  </si>
  <si>
    <t>DetainerNuisance</t>
  </si>
  <si>
    <t>DetainerOther</t>
  </si>
  <si>
    <t>DetainerOwnerMI</t>
  </si>
  <si>
    <t>DetainerRoommate</t>
  </si>
  <si>
    <t>DetainerSubstRehab</t>
  </si>
  <si>
    <t>DetainerUnappSubtenant</t>
  </si>
  <si>
    <t>EvictionBreach</t>
  </si>
  <si>
    <t>EvictionCapImpvmt</t>
  </si>
  <si>
    <t>EvictionCondoConv</t>
  </si>
  <si>
    <t>EvictionDemo</t>
  </si>
  <si>
    <t>EvictionDenialofAccess</t>
  </si>
  <si>
    <t>EvictionDevAgmt</t>
  </si>
  <si>
    <t>EvictionEllisAct</t>
  </si>
  <si>
    <t>EvictionFailuretoRenew</t>
  </si>
  <si>
    <t>EvictionGoodSamTenEnds</t>
  </si>
  <si>
    <t>EvictionHabLatePmt</t>
  </si>
  <si>
    <t>EvictionIllegalUse</t>
  </si>
  <si>
    <t>EvictionLeadRemed</t>
  </si>
  <si>
    <t>EvictionNonPmt</t>
  </si>
  <si>
    <t>EvictionNuisance</t>
  </si>
  <si>
    <t>EvictionOther</t>
  </si>
  <si>
    <t>EvictionOwnerMI</t>
  </si>
  <si>
    <t>EvictionRoommate</t>
  </si>
  <si>
    <t>EvictionSubstRehab</t>
  </si>
  <si>
    <t>EvictionUnappSubtenant</t>
  </si>
  <si>
    <t>NoticeTotalNum</t>
  </si>
  <si>
    <t>DetainerTotalNum</t>
  </si>
  <si>
    <t>EvictionTotalNum</t>
  </si>
  <si>
    <t>=58</t>
  </si>
  <si>
    <r>
      <t>Evictions -</t>
    </r>
    <r>
      <rPr>
        <sz val="14"/>
        <rFont val="Arial"/>
        <family val="2"/>
      </rPr>
      <t xml:space="preserve"> How many evictions occurred during the reporting year?  (This data in this field is automatically calculated from the data that is entered on worksheet 1C.  You must  complete worksheet 1C, unless the project is transitional housing, a residential treatment program, a shelter or a transitional group home.</t>
    </r>
    <r>
      <rPr>
        <sz val="14"/>
        <rFont val="Arial"/>
        <family val="2"/>
      </rPr>
      <t>)</t>
    </r>
  </si>
  <si>
    <t>NumHHsENTIREperiod</t>
  </si>
  <si>
    <t xml:space="preserve">This checklist is a tool to help you track progress toward completion. NOTE: Do not submit the AMR until all items are "COMPLETED." </t>
  </si>
  <si>
    <t>Supportive Services Income - Do not enter supportive services income if it is tracked in a separate budget and not appropriate per MOHCD loan terms to be included in Residual Receipts calculation.</t>
  </si>
  <si>
    <t>Data supplied on this worksheet must be from the rent roll of the last month of the reporting period that was entered on worksheet 1A.</t>
  </si>
  <si>
    <t xml:space="preserve">D. Num of Beds </t>
  </si>
  <si>
    <t>if q9 &lt;.75, &gt;=19, if q9 &gt;=.75, &gt;=17</t>
  </si>
  <si>
    <t>NumBeds</t>
  </si>
  <si>
    <t>Does number of units entered on Worksheet 3 match total units entered on Worksheet 1A or the total households that can be served in Worksheet 1B?</t>
  </si>
  <si>
    <r>
      <rPr>
        <b/>
        <i/>
        <sz val="14"/>
        <rFont val="Arial"/>
        <family val="2"/>
      </rPr>
      <t>Project Capacity:</t>
    </r>
    <r>
      <rPr>
        <b/>
        <sz val="14"/>
        <rFont val="Arial"/>
        <family val="2"/>
      </rPr>
      <t xml:space="preserve"> </t>
    </r>
    <r>
      <rPr>
        <sz val="14"/>
        <rFont val="Arial"/>
        <family val="2"/>
      </rPr>
      <t>What is the target capacity of this project? (All blanks in this section must be filled with a number of “0” or greater in order for the worksheet to be complete.)</t>
    </r>
  </si>
  <si>
    <r>
      <rPr>
        <b/>
        <i/>
        <sz val="14"/>
        <rFont val="Arial"/>
        <family val="2"/>
      </rPr>
      <t xml:space="preserve">Persons Served During Operating Year </t>
    </r>
    <r>
      <rPr>
        <i/>
        <sz val="14"/>
        <rFont val="Arial"/>
        <family val="2"/>
      </rPr>
      <t>(All blanks in this section must be filled with a number of “0” or greater in order for the worksheet to be complete.)</t>
    </r>
    <r>
      <rPr>
        <sz val="14"/>
        <rFont val="Arial"/>
        <family val="2"/>
      </rPr>
      <t xml:space="preserve">                                                                                                                                                                                                         </t>
    </r>
    <r>
      <rPr>
        <b/>
        <u/>
        <sz val="12"/>
        <color indexed="10"/>
        <rFont val="Arial"/>
        <family val="2"/>
      </rPr>
      <t/>
    </r>
  </si>
  <si>
    <t>For each row with a Unit Number, was data entered in cells for Subsidy Type and Utility Allowance?</t>
  </si>
  <si>
    <t xml:space="preserve">Provide information about all current financing of the project. Lenders should be listed in lien order, i.e., with the most-senior lender in the first lien position, the most-junior lender in last lien position. </t>
  </si>
  <si>
    <t># 2</t>
  </si>
  <si>
    <t># 3</t>
  </si>
  <si>
    <r>
      <t xml:space="preserve">Are there urgent  </t>
    </r>
    <r>
      <rPr>
        <b/>
        <sz val="14"/>
        <rFont val="Arial"/>
        <family val="2"/>
      </rPr>
      <t xml:space="preserve">Major Property Repairs </t>
    </r>
    <r>
      <rPr>
        <sz val="14"/>
        <rFont val="Arial"/>
        <family val="2"/>
      </rPr>
      <t xml:space="preserve">needed on the property in the next two years? </t>
    </r>
    <r>
      <rPr>
        <b/>
        <sz val="14"/>
        <rFont val="Arial"/>
        <family val="2"/>
      </rPr>
      <t xml:space="preserve">( Yes/No)  </t>
    </r>
    <r>
      <rPr>
        <sz val="14"/>
        <color indexed="10"/>
        <rFont val="Arial"/>
        <family val="2"/>
      </rPr>
      <t xml:space="preserve">If there are needed major repairs you must answer Question #3 on the Narrative worksheet. </t>
    </r>
    <r>
      <rPr>
        <i/>
        <sz val="14"/>
        <color indexed="10"/>
        <rFont val="Arial"/>
        <family val="2"/>
      </rPr>
      <t xml:space="preserve">(Click on #3 at left to jump to Narrative worksheet.)  </t>
    </r>
  </si>
  <si>
    <r>
      <t>How many</t>
    </r>
    <r>
      <rPr>
        <b/>
        <sz val="14"/>
        <rFont val="Arial"/>
        <family val="2"/>
      </rPr>
      <t xml:space="preserve"> Health, Building or Housing Code Violations</t>
    </r>
    <r>
      <rPr>
        <sz val="14"/>
        <rFont val="Arial"/>
        <family val="2"/>
      </rPr>
      <t xml:space="preserve"> were issued against the property in the reporting year?  (If there were no violations enter "0"). </t>
    </r>
    <r>
      <rPr>
        <sz val="14"/>
        <color indexed="10"/>
        <rFont val="Arial"/>
        <family val="2"/>
      </rPr>
      <t xml:space="preserve"> If the property was cited for code violations in the reporting year or has open, unresolved violations from prior years as indicated below, you must answer Question #2 on the Narrative worksheet. </t>
    </r>
    <r>
      <rPr>
        <i/>
        <sz val="14"/>
        <color indexed="10"/>
        <rFont val="Arial"/>
        <family val="2"/>
      </rPr>
      <t>(Click on #2 at left to jump to Narrative worksheet.)</t>
    </r>
  </si>
  <si>
    <r>
      <t xml:space="preserve">If the property has </t>
    </r>
    <r>
      <rPr>
        <b/>
        <sz val="14"/>
        <rFont val="Arial"/>
        <family val="2"/>
      </rPr>
      <t>Immediate Capital Needs</t>
    </r>
    <r>
      <rPr>
        <sz val="14"/>
        <rFont val="Arial"/>
        <family val="2"/>
      </rPr>
      <t xml:space="preserve"> and lacks adequate funds in the Replacement Reserve (or elsewhere) to cover the costs, please supply the amount of funds needed to make up the difference, </t>
    </r>
    <r>
      <rPr>
        <sz val="14"/>
        <color indexed="10"/>
        <rFont val="Arial"/>
        <family val="2"/>
      </rPr>
      <t>and supply additional explanation in question #3 of the Narrative report. (Click on # 3 at left to jump to Narrative worksheet.)</t>
    </r>
  </si>
  <si>
    <t xml:space="preserve">This section of the AMR must be completed for all projects, except for transitional housing or residential treatment services. </t>
  </si>
  <si>
    <t>You MUST answer every question (i.e., enter zero if applicable).</t>
  </si>
  <si>
    <t>Families</t>
  </si>
  <si>
    <t>Persons with HIV/AIDS</t>
  </si>
  <si>
    <t>Housing for Homeless</t>
  </si>
  <si>
    <t>Mentally or Physically Disabled</t>
  </si>
  <si>
    <t>Transition-Aged Youth ("TAY")</t>
  </si>
  <si>
    <t>Sponsor Executive Director Name</t>
  </si>
  <si>
    <t>5 thru 24</t>
  </si>
  <si>
    <t>New</t>
  </si>
  <si>
    <t>Old</t>
  </si>
  <si>
    <t>Misc. Admin Expenses</t>
  </si>
  <si>
    <t>HUD Acct #</t>
  </si>
  <si>
    <t>Notes</t>
  </si>
  <si>
    <t>Misc. Operating &amp; Maintenance Expenses</t>
  </si>
  <si>
    <t>Total:</t>
  </si>
  <si>
    <t>&lt;expense threshold</t>
  </si>
  <si>
    <t xml:space="preserve">Diff. from Fiscal Activity WS: </t>
  </si>
  <si>
    <t>Annual Monitoring Report -</t>
  </si>
  <si>
    <t>Report Name</t>
  </si>
  <si>
    <t>Reporting Year</t>
  </si>
  <si>
    <t>Worksheet Name</t>
  </si>
  <si>
    <t>Instructions</t>
  </si>
  <si>
    <t xml:space="preserve">For Titles: </t>
  </si>
  <si>
    <t>Property &amp; Residents</t>
  </si>
  <si>
    <t>1A. Property &amp; Residents</t>
  </si>
  <si>
    <t>1B. Transitional Programs Only</t>
  </si>
  <si>
    <t>1C. Eviction Data</t>
  </si>
  <si>
    <t>4. Narrative</t>
  </si>
  <si>
    <t>5. Project Financing</t>
  </si>
  <si>
    <t>6. Services Funding</t>
  </si>
  <si>
    <t>Transitional Programs</t>
  </si>
  <si>
    <t>Eviction Data</t>
  </si>
  <si>
    <t>2. Fiscal Activity</t>
  </si>
  <si>
    <t>Fiscal Activity</t>
  </si>
  <si>
    <t>Occupancy &amp; Rent Info</t>
  </si>
  <si>
    <t>Project Financing</t>
  </si>
  <si>
    <t xml:space="preserve">Office </t>
  </si>
  <si>
    <t>Mayor's Office of Housing &amp; Community Development</t>
  </si>
  <si>
    <t>&gt;=6</t>
  </si>
  <si>
    <t>EDName</t>
  </si>
  <si>
    <t>EDPhone</t>
  </si>
  <si>
    <t>EDEmail</t>
  </si>
  <si>
    <t>New for 2015</t>
  </si>
  <si>
    <t>Popltn_Families_Target</t>
  </si>
  <si>
    <t>Popltn_Families_Actual</t>
  </si>
  <si>
    <t>Popltn_TAY_Target</t>
  </si>
  <si>
    <t>Popltn_TAY_Actual</t>
  </si>
  <si>
    <t>8.  Asset Mgt fee in excess of $3K shown on Page 2 (only if permission is granted in writing by City/SFRA per Asset Mgt. Policy).</t>
  </si>
  <si>
    <t>14. PROPOSED RESIDUAL RECEIPTS PAYMENT TO MOHCD</t>
  </si>
  <si>
    <t>Proposed Owner Distributions (enter amount in cell immediately to the right; description is required in next column if amount is greater than amount in 13d)</t>
  </si>
  <si>
    <t>Proposed Other Distributions By Borrower (enter amount in cell immediately to the right, provide description in next column as needed)</t>
  </si>
  <si>
    <t>Asset Management Fee (Max $3K).</t>
  </si>
  <si>
    <t>Health Insurance and Other Employee Benefits</t>
  </si>
  <si>
    <t>Other Salary/Benefit Expenses</t>
  </si>
  <si>
    <t>Workmen's Compensation</t>
  </si>
  <si>
    <t>Operating Reserve Annual Withdrawal Amount:</t>
  </si>
  <si>
    <t>Operating Reserve Account Minumum Required Balance:</t>
  </si>
  <si>
    <t>Reporting Period Operating Reserve Beginning Balance:</t>
  </si>
  <si>
    <t>Reporting Period Operating Reserve Ending Balance:</t>
  </si>
  <si>
    <t>Operating Reserve Minumum Required Annual Deposit:</t>
  </si>
  <si>
    <t>If the calculated percentage immediately to the right (Operating Reserve Account Ending Balance divded by Total Operating Expenses) is less than 25%, you must provide an assessment of whether the operating reserve balance is lower than it should be, and if it is, a brief description of the plan to remedy the problem.</t>
  </si>
  <si>
    <t>Replacement Reserve Annual Withdrawal Amount:</t>
  </si>
  <si>
    <t>Replacement Reserve Account Minumum Required Balance:</t>
  </si>
  <si>
    <t>Reporting Period Replacement Reserve Beginning Balance:</t>
  </si>
  <si>
    <t>Reporting Period Replacement Reserve Ending Balance:</t>
  </si>
  <si>
    <t>Replacement Reserve Minumum Required Annual Deposit:</t>
  </si>
  <si>
    <t>Amount to be deposited for use on future eligible CDBG activities which will be undertaken by June 30, 2014 (provide amount in cell to the right, and activity description and regulation citation in column furthest to the right):</t>
  </si>
  <si>
    <t>3.                                      TOTAL INCOME RECEIVED (1+2):</t>
  </si>
  <si>
    <t>5.                               NET OPERATING INCOME (3 less 4):</t>
  </si>
  <si>
    <t>Principal Paid to Lender1 (provide name to the right)</t>
  </si>
  <si>
    <t>Interest Paid to Lender1 (provide name to the right)</t>
  </si>
  <si>
    <t>Principal Paid to Lender2 (provide name to the right)</t>
  </si>
  <si>
    <t>Interest Paid to Lender2 (provide name to the right)</t>
  </si>
  <si>
    <t>Principal Paid to Lender3 (provide name to the right)</t>
  </si>
  <si>
    <t>Interest Paid to Lender3 (provide name to the right)</t>
  </si>
  <si>
    <t>Replacement Reserve Deposits</t>
  </si>
  <si>
    <t>Other Required Reserve Account Deposits (Identify account in row below)</t>
  </si>
  <si>
    <t>Other Required Reserve Account Withdrawals - Identify account in next col  ----------&gt;</t>
  </si>
  <si>
    <t>9.  Ground Lease payment, if any</t>
  </si>
  <si>
    <t>10.  Partnership Management fee, if any</t>
  </si>
  <si>
    <t>Supportive Services: do not enter supportive services expenses if tracked in separate budget and not eleigible to be counted against project income for residual receipts calculation</t>
  </si>
  <si>
    <t>TOTAL OPERATING EXPENSES (used for #4 on page 1):</t>
  </si>
  <si>
    <t>Total CDBG Program Income Calculation (see instructions for guidance on how to calculate)</t>
  </si>
  <si>
    <t>INCM_MiscOtherIncome_cmmercl</t>
  </si>
  <si>
    <t>INCM_TotalIncome</t>
  </si>
  <si>
    <t>INCM_TotalIncome_cmmercl</t>
  </si>
  <si>
    <t>INCM_TotalIncome_TOTAL</t>
  </si>
  <si>
    <t>CF_PrincplPaidLender1_lendername</t>
  </si>
  <si>
    <t>CF_PrincplPaidLender1</t>
  </si>
  <si>
    <t>CF_PrincplPaidLender1_cmmercl</t>
  </si>
  <si>
    <t>CF_IntPaidLender1</t>
  </si>
  <si>
    <t>CF_IntPaidLender1_cmmercl</t>
  </si>
  <si>
    <t>CF_PrincplPaidLender2_lendername</t>
  </si>
  <si>
    <t>CF_PrincplPaidLender2</t>
  </si>
  <si>
    <t>CF_PrincplPaidLender2_cmmercl</t>
  </si>
  <si>
    <t>CF_IntPaidLender2</t>
  </si>
  <si>
    <t>CF_IntPaidLender2_cmmercl</t>
  </si>
  <si>
    <t>CF_PrincplPaidLender3_lendername</t>
  </si>
  <si>
    <t>CF_PrincplPaidLender3</t>
  </si>
  <si>
    <t>CF_PrincplPaidLender3_cmmercl</t>
  </si>
  <si>
    <t>CF_IntPaidLender3</t>
  </si>
  <si>
    <t>CF_IntPaidLender3_cmmercl</t>
  </si>
  <si>
    <t>CF_TotalDebtServicePmts</t>
  </si>
  <si>
    <t>CF_TotalDebtServicePmts_cmmercl</t>
  </si>
  <si>
    <t>CF_ReplcmtRsrvDeposits</t>
  </si>
  <si>
    <t>CF_ReplcmtRsrvDeposits_cmmercl</t>
  </si>
  <si>
    <t>CF_OpRsrvDeposits</t>
  </si>
  <si>
    <t>CF_OpRsrvDeposits_cmmercl</t>
  </si>
  <si>
    <t>CF_OpRsrvWdrawals</t>
  </si>
  <si>
    <t>CF_OpRsrvWdrawals_cmmercl</t>
  </si>
  <si>
    <t>CF_OtherRqdRsrv_Identify</t>
  </si>
  <si>
    <t>CF_OtherRqdRsrvDeposits</t>
  </si>
  <si>
    <t>CF_OtherRqdRsrvDeposits_cmmercl</t>
  </si>
  <si>
    <t>CF_OtherRqdRsrvWdrawals</t>
  </si>
  <si>
    <t>CF_OtherRqdRsrvWdrawals_cmmercl</t>
  </si>
  <si>
    <t>RR_ResRcts_TOTAL</t>
  </si>
  <si>
    <t>RR_ProposedOwnerDistrib_describe</t>
  </si>
  <si>
    <t>RR_PropsedOtherDistrib_describe</t>
  </si>
  <si>
    <t>EXP_MgtFee</t>
  </si>
  <si>
    <t>EXP_MgtFee_commercial</t>
  </si>
  <si>
    <t>EXP_AssetMgtFee</t>
  </si>
  <si>
    <t>EXP_AssetMgtFee_commercial</t>
  </si>
  <si>
    <t>EXP_AdminRentFreeUnit</t>
  </si>
  <si>
    <t>EXP_AdminRentFreeUnit_commercial</t>
  </si>
  <si>
    <t>EXP_OfficeSalaries</t>
  </si>
  <si>
    <t>EXP_OfficeSalaries_commercial</t>
  </si>
  <si>
    <t>EXP_MgrSalary</t>
  </si>
  <si>
    <t>EXP_MgrSalary_commercial</t>
  </si>
  <si>
    <t>EXP_HelthInsOtherBenefits</t>
  </si>
  <si>
    <t>EXP_HelthInsOtherBenefits_commercial</t>
  </si>
  <si>
    <t>EXP_OthersalaryBenefits</t>
  </si>
  <si>
    <t>EXP_OthersalaryBenefits_commercial</t>
  </si>
  <si>
    <t>EXP_AdvertMarketing</t>
  </si>
  <si>
    <t>EXP_AdvertMarketing_commercial</t>
  </si>
  <si>
    <t>EXP_OfficeExp</t>
  </si>
  <si>
    <t>EXP_OfficeExp_commercial</t>
  </si>
  <si>
    <t>EXP_OfficeRent</t>
  </si>
  <si>
    <t>EXP_OfficeRent_commercial</t>
  </si>
  <si>
    <t>EXP_LegalExp-PPT</t>
  </si>
  <si>
    <t>EXP_LegalExp-PPT_commercial</t>
  </si>
  <si>
    <t>EXP_Audit</t>
  </si>
  <si>
    <t>EXP_Audit_commercial</t>
  </si>
  <si>
    <t>EXP_BookkeepingAccntngSvcs</t>
  </si>
  <si>
    <t>EXP_BookkeepingAccntngSvcs_commercial</t>
  </si>
  <si>
    <t>EXP_BadDebts</t>
  </si>
  <si>
    <t>EXP_BadDebts_commercial</t>
  </si>
  <si>
    <t>EXP_MiscAdminExp</t>
  </si>
  <si>
    <t>EXP_MiscAdminExp_commercial</t>
  </si>
  <si>
    <t>EXP_Electricity</t>
  </si>
  <si>
    <t>EXP_Electricity_commercial</t>
  </si>
  <si>
    <t>EXP_Water</t>
  </si>
  <si>
    <t>EXP_Water_commercial</t>
  </si>
  <si>
    <t>EXP_Gas</t>
  </si>
  <si>
    <t>EXP_Gas_commercial</t>
  </si>
  <si>
    <t>EXP_Sewer</t>
  </si>
  <si>
    <t>EXP_Sewer_commercial</t>
  </si>
  <si>
    <t>EXP_RealEstateTaxes</t>
  </si>
  <si>
    <t>EXP_RealEstateTaxes_commercial</t>
  </si>
  <si>
    <t>EXP_PayrollTaxes</t>
  </si>
  <si>
    <t>EXP_PayrollTaxes_commercial</t>
  </si>
  <si>
    <t>EXP_MiscTaxesLicensesPermits</t>
  </si>
  <si>
    <t>EXP_MiscTaxesLicensesPermits_commercial</t>
  </si>
  <si>
    <t>EXP_PropertyAndLiabInsur</t>
  </si>
  <si>
    <t>EXP_PropertyAndLiabInsur_commercial</t>
  </si>
  <si>
    <t>EXP_FidelityBondInsur</t>
  </si>
  <si>
    <t>EXP_FidelityBondInsur_commercial</t>
  </si>
  <si>
    <t>EXP_WorkersComp</t>
  </si>
  <si>
    <t>EXP_WorkersComp_commercial</t>
  </si>
  <si>
    <t>EXP_DirectorOfficerLiabInsur</t>
  </si>
  <si>
    <t>EXP_DirectorOfficerLiabInsur_commercial</t>
  </si>
  <si>
    <t>EXP_MaintRepairPayroll</t>
  </si>
  <si>
    <t>EXP_MaintRepairPayroll_commercial</t>
  </si>
  <si>
    <t>EXP_Supplies</t>
  </si>
  <si>
    <t>EXP_Supplies_commercial</t>
  </si>
  <si>
    <t>EXP_Contracts</t>
  </si>
  <si>
    <t>EXP_Contracts_commercial</t>
  </si>
  <si>
    <t>EXP_GarbageTrashRemoval</t>
  </si>
  <si>
    <t>EXP_GarbageTrashRemoval_commercial</t>
  </si>
  <si>
    <t>EXP_SecurityPayrollAndOrContract</t>
  </si>
  <si>
    <t>EXP_SecurityPayrollAndOrContract_commercial</t>
  </si>
  <si>
    <t>EXP_HVACRepairsMaint</t>
  </si>
  <si>
    <t>EXP_HVACRepairsMaint_commercial</t>
  </si>
  <si>
    <t>EXP_VehicleAndMaintEquipmtOpsAndRepairs</t>
  </si>
  <si>
    <t>EXP_VehicleAndMaintEquipmtOpsAndRepairs_commercial</t>
  </si>
  <si>
    <t>EXP_MiscOpsMaintExpenses</t>
  </si>
  <si>
    <t>EXP_MiscOpsMaintExpenses_commercial</t>
  </si>
  <si>
    <t>EXP_SuppSvcs</t>
  </si>
  <si>
    <t>EXP_SuppSvcs_commercial</t>
  </si>
  <si>
    <t>EXP_TOT_OP_EXPENSES</t>
  </si>
  <si>
    <t>EXP_TOT_OP_EXPENSES_commercial</t>
  </si>
  <si>
    <t>EXP_TOT_OP_EXPENSES_TOTAL</t>
  </si>
  <si>
    <t>OpRsrv_AnnlWDrawal</t>
  </si>
  <si>
    <t>OpRsrv_MinBalReqd</t>
  </si>
  <si>
    <t>OpRsrv_BegBal</t>
  </si>
  <si>
    <t>OpRsrv_EndBal</t>
  </si>
  <si>
    <t>OpRsrv_MinReqdAnnlDep</t>
  </si>
  <si>
    <t>OpRsrv_EndBal_PctgOfOpExpenses</t>
  </si>
  <si>
    <t>OpRsrv_EndBal_PctgOfOpExpenses_EXPLAIN</t>
  </si>
  <si>
    <t>ReplRsrv_AnnlWDrawal</t>
  </si>
  <si>
    <t>ReplRsrv_MinBalReqd</t>
  </si>
  <si>
    <t>ReplRsrv_BegBal</t>
  </si>
  <si>
    <t>ReplRsrv_EndBal</t>
  </si>
  <si>
    <t>ReplRsrv_MinReqdAnnlDep</t>
  </si>
  <si>
    <t>ReplRsrv_MinBalReqd_HowDetermnd</t>
  </si>
  <si>
    <t>PgmIncm_CDBG_PGM_INCOME_Tot</t>
  </si>
  <si>
    <t>PgmIncm_CDBG_PGM_INCOME_NOTES</t>
  </si>
  <si>
    <t>PgmIncm_AmtCDBGActivity1</t>
  </si>
  <si>
    <t>PgmIncm_AmtCDBGActivity1_notes</t>
  </si>
  <si>
    <t>PgmIncm_AmtCDBGActivity2</t>
  </si>
  <si>
    <t>PgmIncm_AmtCDBGActivity2_notes</t>
  </si>
  <si>
    <t>PgmIncm_AmtCDBGActivity3</t>
  </si>
  <si>
    <t>PgmIncm_AmtCDBGActivity3_notes</t>
  </si>
  <si>
    <t>PgmIncm_AmtCDBGFutureActivities</t>
  </si>
  <si>
    <t>PgmIncm_AmtCDBGFutureActivities_notes</t>
  </si>
  <si>
    <t>PgmIncm_Other</t>
  </si>
  <si>
    <t>PgmIncm_Other_notes</t>
  </si>
  <si>
    <t>CF_OtherRqdRsrvWdrawals_Sources</t>
  </si>
  <si>
    <t>Lender3Other_desc</t>
  </si>
  <si>
    <t>Lender3Other_Res</t>
  </si>
  <si>
    <t>Lender3Other_Cmmrcl</t>
  </si>
  <si>
    <t>Lender4Name</t>
  </si>
  <si>
    <t>Lender4Prncpl_Res</t>
  </si>
  <si>
    <t>Lender4Prncpl_Cmmrcl</t>
  </si>
  <si>
    <t>Lender4Int_Res</t>
  </si>
  <si>
    <t>Lender4Int_Cmmrcl</t>
  </si>
  <si>
    <t>Lender4Other_desc</t>
  </si>
  <si>
    <t>Lender4Other_Res</t>
  </si>
  <si>
    <t>Lender4Other_Cmmrcl</t>
  </si>
  <si>
    <t>SurplusCash_Res</t>
  </si>
  <si>
    <t>SurplusCash_Cmmrcl</t>
  </si>
  <si>
    <t>SurplusCash_TOT</t>
  </si>
  <si>
    <t>WF_Lender1Name</t>
  </si>
  <si>
    <t>WF_Lender2Name</t>
  </si>
  <si>
    <t>WF_Lender3Name</t>
  </si>
  <si>
    <t>WF_Lender3Prncpl_Res</t>
  </si>
  <si>
    <t>WF_Lender4Name</t>
  </si>
  <si>
    <t>WF_Lender4Prncpl_Res</t>
  </si>
  <si>
    <t>FinalBal</t>
  </si>
  <si>
    <t>CapExp_TOT</t>
  </si>
  <si>
    <t>CapExp_Notes</t>
  </si>
  <si>
    <t>RR_Elgbl_non-cap_pdByRR</t>
  </si>
  <si>
    <t>RR_Elgbl_non-cap_TOTALwithRR</t>
  </si>
  <si>
    <t>RR_Elgbl_non-cap_Notes</t>
  </si>
  <si>
    <t>RR_Eligble_TOTAL</t>
  </si>
  <si>
    <t>RR_Eligble_DiscrepNotes</t>
  </si>
  <si>
    <t>NumUnits_LOSP</t>
  </si>
  <si>
    <t>NumUnits_nonLOSP</t>
  </si>
  <si>
    <t>PctgOfUnits_LOSP</t>
  </si>
  <si>
    <t>PctgOfUnits_nonLOSP</t>
  </si>
  <si>
    <t>GrossTenantRents_LOSP</t>
  </si>
  <si>
    <t>GrossTenantRents_nonLOSP</t>
  </si>
  <si>
    <t>RentalAssistance_LOSP</t>
  </si>
  <si>
    <t>RentalAssistance_nonLOSP</t>
  </si>
  <si>
    <t>Vacancy_LOSP</t>
  </si>
  <si>
    <t>Vacancy_nonLOSP</t>
  </si>
  <si>
    <t>RentAssistPmt_LOSP</t>
  </si>
  <si>
    <t>RentAssistPmt_nonLOSP</t>
  </si>
  <si>
    <t>GroundLessorName</t>
  </si>
  <si>
    <t>GroundLessorBaseRent_Res</t>
  </si>
  <si>
    <t>GroundLessorBaseRent_Cmmrcl</t>
  </si>
  <si>
    <t>NetLOSPRevenueForRptPeriod</t>
  </si>
  <si>
    <t>RR_Elgbl_Cap_Res</t>
  </si>
  <si>
    <t>MiscExpType</t>
  </si>
  <si>
    <t>Admin</t>
  </si>
  <si>
    <t>Op &amp; Maint</t>
  </si>
  <si>
    <t>Expense Description</t>
  </si>
  <si>
    <t>Importing for MiscExpense Data provided on narrative</t>
  </si>
  <si>
    <t>Column B - "Description of Income Accounts" and "Description of  Expense Accounts".  A complete description of the Income Accounts and Expense Accounts are provided below.  Refer to the descriptions when completing the Fiscal Activity Worksheet. The Chart of Accounts uses account categories prescribed by generally accepted accounting principles and closely follows accounts prescribed by HUD, the State of California's Housing and Community Development Department, and the City’s Quarterly Program Income Worksheet.</t>
  </si>
  <si>
    <r>
      <rPr>
        <u/>
        <sz val="14"/>
        <rFont val="CG Omega (W1)"/>
      </rPr>
      <t>5120 Housing Units Gross Potential Tenant Rents.</t>
    </r>
    <r>
      <rPr>
        <sz val="14"/>
        <rFont val="CG Omega (W1)"/>
      </rPr>
      <t xml:space="preserve"> This account records gross rent payable by the tenant for all residential units.  Offsetting debits to this account are Account 6331, Administrative Rent Free Unit.</t>
    </r>
  </si>
  <si>
    <r>
      <rPr>
        <u/>
        <sz val="14"/>
        <rFont val="CG Omega (W1)"/>
      </rPr>
      <t>5990 Other Revenue.</t>
    </r>
    <r>
      <rPr>
        <sz val="14"/>
        <rFont val="CG Omega (W1)"/>
      </rPr>
      <t xml:space="preserve"> This account records project revenue not otherwise described in the above revenue accounts.  </t>
    </r>
  </si>
  <si>
    <r>
      <rPr>
        <u/>
        <sz val="14"/>
        <rFont val="CG Omega (W1)"/>
      </rPr>
      <t>6320 Management Fee.</t>
    </r>
    <r>
      <rPr>
        <sz val="14"/>
        <rFont val="CG Omega (W1)"/>
      </rPr>
      <t xml:space="preserve"> This account records the cost of management agent services contracted by the project.  This account does </t>
    </r>
    <r>
      <rPr>
        <u/>
        <sz val="14"/>
        <rFont val="CG Omega (W1)"/>
      </rPr>
      <t>not</t>
    </r>
    <r>
      <rPr>
        <sz val="14"/>
        <rFont val="CG Omega (W1)"/>
      </rPr>
      <t xml:space="preserve"> include charges for bookkeeping or accounting services paid directly by the project to either the management agent or another third party.</t>
    </r>
  </si>
  <si>
    <r>
      <rPr>
        <u/>
        <sz val="14"/>
        <rFont val="CG Omega (W1)"/>
      </rPr>
      <t>6330 Manager's Salary.</t>
    </r>
    <r>
      <rPr>
        <sz val="14"/>
        <rFont val="CG Omega (W1)"/>
      </rPr>
      <t xml:space="preserve">  This account records the salary paid to property managers.  It does not include the project's share of payroll taxes or other employee benefits or compensation provided to residents managers in lieu of residents managers' salary payments.</t>
    </r>
  </si>
  <si>
    <r>
      <rPr>
        <u/>
        <sz val="14"/>
        <rFont val="CG Omega (W1)"/>
      </rPr>
      <t>6331 Administrative Rent Free Unit.</t>
    </r>
    <r>
      <rPr>
        <sz val="14"/>
        <rFont val="CG Omega (W1)"/>
      </rPr>
      <t xml:space="preserve"> This account records the contract rent of any rent free unit provided to a resident manager which would otherwise be considered revenue producing.</t>
    </r>
  </si>
  <si>
    <r>
      <rPr>
        <u/>
        <sz val="14"/>
        <rFont val="CG Omega (W1)"/>
      </rPr>
      <t>6370 Bad Debts.</t>
    </r>
    <r>
      <rPr>
        <sz val="14"/>
        <rFont val="CG Omega (W1)"/>
      </rPr>
      <t xml:space="preserve">  This account records by journal entry the amount of tenant accounts receivable that the agent estimates uncollectible at the end of the accounting period.  </t>
    </r>
  </si>
  <si>
    <t>6450 Electricity</t>
  </si>
  <si>
    <t>6451 Water</t>
  </si>
  <si>
    <t>6452 Gas</t>
  </si>
  <si>
    <t>6453 Sewer</t>
  </si>
  <si>
    <r>
      <rPr>
        <u/>
        <sz val="14"/>
        <rFont val="CG Omega (W1)"/>
      </rPr>
      <t>6720 Property and Liability Insurance.</t>
    </r>
    <r>
      <rPr>
        <sz val="14"/>
        <rFont val="CG Omega (W1)"/>
      </rPr>
      <t xml:space="preserve"> This account records the cost of project property and commercial general/auto liability insurance.  </t>
    </r>
  </si>
  <si>
    <r>
      <rPr>
        <u/>
        <sz val="14"/>
        <rFont val="CG Omega (W1)"/>
      </rPr>
      <t>6546 HVAC Repairs and Maintenance.</t>
    </r>
    <r>
      <rPr>
        <sz val="14"/>
        <rFont val="CG Omega (W1)"/>
      </rPr>
      <t xml:space="preserve"> This account records the cost of repairing and maintaining heating or air conditioning equipment owned by the project.  Agents should capitalize repairs of significant amounts which extend the useful life of the equipment.</t>
    </r>
  </si>
  <si>
    <r>
      <t xml:space="preserve"> “5+BR” </t>
    </r>
    <r>
      <rPr>
        <sz val="14"/>
        <rFont val="Arial"/>
        <family val="2"/>
      </rPr>
      <t>= 5 or more Bedroom unit</t>
    </r>
  </si>
  <si>
    <r>
      <rPr>
        <b/>
        <sz val="14"/>
        <rFont val="Arial"/>
        <family val="2"/>
      </rPr>
      <t xml:space="preserve">Minimum Occupancy for Unit Type. </t>
    </r>
    <r>
      <rPr>
        <sz val="14"/>
        <rFont val="Arial"/>
        <family val="2"/>
      </rPr>
      <t>The data here is automatically entered from items 25-31 on Worksheet #1A.</t>
    </r>
  </si>
  <si>
    <r>
      <rPr>
        <b/>
        <sz val="14"/>
        <rFont val="Arial"/>
        <family val="2"/>
      </rPr>
      <t xml:space="preserve">Maximum Occupancy for Unit Type. </t>
    </r>
    <r>
      <rPr>
        <sz val="14"/>
        <rFont val="Arial"/>
        <family val="2"/>
      </rPr>
      <t>The data here is automatically entered from items 25-31 on Worksheet #1A.</t>
    </r>
  </si>
  <si>
    <t xml:space="preserve">Supply the info requested about all current financing of the project. Lenders should be listed in lien order, i.e., with the most-senior lender in the first lien position, the most-junior lender in last lien position. </t>
  </si>
  <si>
    <t>Questions</t>
  </si>
  <si>
    <t>Question</t>
  </si>
  <si>
    <t>Under Target Population, enter the number of units at the project that, as a requirement of a specific funding source (e.g. 202, HOPWA, McKinney), are targeted to and set aside for the target populations shown in the table.  Under Actual Population, enter the number of households at the project that, as of the end of the reporting period, contained at least one person who is a member of the populations shown in the table.</t>
  </si>
  <si>
    <t>Number of Units---&gt;</t>
  </si>
  <si>
    <t>TOTAL INCOME RECEIVED:</t>
  </si>
  <si>
    <t>Directors &amp; Officers Liabilities Insurance</t>
  </si>
  <si>
    <t>Go to ws4 Narrative question #8</t>
  </si>
  <si>
    <t>Explanation of Non-Capital Replacement Reserve Eligible Expenditures</t>
  </si>
  <si>
    <t>1. Explanations &amp; Comments</t>
  </si>
  <si>
    <t>2. Code Violations</t>
  </si>
  <si>
    <t xml:space="preserve">Provide the following for any violations or citations of Health or Building or Housing Codes that were issued during the reporting period, or were issued in a prior reporting period but remained open during any time of the current reporting period: </t>
  </si>
  <si>
    <t>3. Major Repairs</t>
  </si>
  <si>
    <t xml:space="preserve">Describe any major repair or replacement needs that have been identified as being required within the next 2 years, and any related plans to pay for whatever is needed. </t>
  </si>
  <si>
    <t>4. Vacant Unit Rent-Up Time</t>
  </si>
  <si>
    <t>5. Affirmative Marketing</t>
  </si>
  <si>
    <t xml:space="preserve">Did you conduct any marketing of the project during the reporting period?  If yes, please describe the marketing that was conducted, including </t>
  </si>
  <si>
    <t>6. Vacancy Rate ------&gt;</t>
  </si>
  <si>
    <t>8. Negative Cash Flow</t>
  </si>
  <si>
    <r>
      <rPr>
        <u/>
        <sz val="14"/>
        <rFont val="CG Omega (W1)"/>
      </rPr>
      <t>6390 Miscellaneous Administrative Expenses.</t>
    </r>
    <r>
      <rPr>
        <sz val="14"/>
        <rFont val="CG Omega (W1)"/>
      </rPr>
      <t xml:space="preserve"> This account records administrative expenses not otherwise classified in the 6300 Series.  If the project had miscellaneous administrative expenses greater than $10,000, a detailed itemization of these expenses must be provided in the Narrative worksheet. </t>
    </r>
  </si>
  <si>
    <r>
      <rPr>
        <u/>
        <sz val="14"/>
        <rFont val="CG Omega (W1)"/>
      </rPr>
      <t>6590 Miscellaneous Operating and Maintenance Expenses.</t>
    </r>
    <r>
      <rPr>
        <sz val="14"/>
        <rFont val="CG Omega (W1)"/>
      </rPr>
      <t xml:space="preserve"> This account records the cost of maintenance and repairs not otherwise classified in the 6400 and 6500 account Series. If the project had miscellaneous operating and maintenance expenses greater than $10,000, a detailed itemization of these expenses must be provided in the Narrative worksheet. </t>
    </r>
  </si>
  <si>
    <r>
      <t xml:space="preserve">Lender </t>
    </r>
    <r>
      <rPr>
        <sz val="10"/>
        <rFont val="Arial"/>
        <family val="2"/>
      </rPr>
      <t>(and Loan Program if applicable)</t>
    </r>
  </si>
  <si>
    <t>Completeness Tracker</t>
  </si>
  <si>
    <t>Complete Tracker</t>
  </si>
  <si>
    <t xml:space="preserve">NOT SURE ABOUT AN ENTRY? FINDING A NEED TO DOCUMENT HOW YOU DERIVED A PARTICULAR NUMBER? Please record your notes as a response to the first question (#1) on the Narrative worksheet.
</t>
  </si>
  <si>
    <t>NOT SURE ABOUT AN ENTRY? FINDING A NEED TO DOCUMENT HOW YOU DERIVED A PARTICULAR NUMBER? Please record your notes as a response to the first question (#1) on the Narrative worksheet.</t>
  </si>
  <si>
    <t xml:space="preserve">Project Address: </t>
  </si>
  <si>
    <t>Reporting Start Date:</t>
  </si>
  <si>
    <t>Reporting End Date:</t>
  </si>
  <si>
    <r>
      <t>Miscellaneous Administrative Expenses</t>
    </r>
    <r>
      <rPr>
        <b/>
        <u/>
        <sz val="10"/>
        <color indexed="12"/>
        <rFont val="Arial"/>
        <family val="2"/>
      </rPr>
      <t xml:space="preserve"> (must click &amp; explain if &gt;$10k)</t>
    </r>
  </si>
  <si>
    <r>
      <t xml:space="preserve">Miscellaneous Operating and Maintenance Expenses </t>
    </r>
    <r>
      <rPr>
        <b/>
        <u/>
        <sz val="10"/>
        <color indexed="12"/>
        <rFont val="Arial"/>
        <family val="2"/>
      </rPr>
      <t>(must click &amp; explain if &gt;$10k)</t>
    </r>
  </si>
  <si>
    <t>7a</t>
  </si>
  <si>
    <t>7b</t>
  </si>
  <si>
    <r>
      <t xml:space="preserve">Actual Annual Deposit </t>
    </r>
    <r>
      <rPr>
        <sz val="11"/>
        <rFont val="Arial"/>
        <family val="2"/>
      </rPr>
      <t>(don't edit - taken from page 1 account number 1365):</t>
    </r>
  </si>
  <si>
    <t>7. Miscellaneous Expenses: Administrative/Operating &amp; Maintenance</t>
  </si>
  <si>
    <t>Accrued Interest As Of End of Prior Reporting Period</t>
  </si>
  <si>
    <t>Schedule of Operating Revenues</t>
  </si>
  <si>
    <t>Vacancies</t>
  </si>
  <si>
    <t xml:space="preserve">Total Rent Revenue: </t>
  </si>
  <si>
    <t xml:space="preserve">Total Vacancies: </t>
  </si>
  <si>
    <t>Net Rental Income: (Rent Revenue Less Vacancies)</t>
  </si>
  <si>
    <t>Total Other Revenue:</t>
  </si>
  <si>
    <t xml:space="preserve">Rent Revenue - Garage &amp; Parking </t>
  </si>
  <si>
    <t>Misc. Rent Revenue</t>
  </si>
  <si>
    <t>Apartments</t>
  </si>
  <si>
    <t>Stores &amp; Commercial</t>
  </si>
  <si>
    <t>Supportive Services Income</t>
  </si>
  <si>
    <t>Laundry &amp; Vending Revenue</t>
  </si>
  <si>
    <t>Misc. Revenue</t>
  </si>
  <si>
    <t>Schedule of Operating Expenses</t>
  </si>
  <si>
    <t xml:space="preserve">Rental Income </t>
  </si>
  <si>
    <t>Gross Potential Tenant Rents</t>
  </si>
  <si>
    <t>Rental Assistance Payments (inc. LOSP)</t>
  </si>
  <si>
    <t>"Above the Line" Asset Management Fee</t>
  </si>
  <si>
    <t xml:space="preserve">Total Management Expenses: </t>
  </si>
  <si>
    <t>Total Salary/Benefit Expenses:</t>
  </si>
  <si>
    <t>Summary of Replacement Reserve and Operating Reserve Activity</t>
  </si>
  <si>
    <t>Operating Reserve</t>
  </si>
  <si>
    <t xml:space="preserve">Actual Annual Deposit </t>
  </si>
  <si>
    <t>Withdrawals</t>
  </si>
  <si>
    <t>Computation of Operating Cash Flow/Surplus Cash</t>
  </si>
  <si>
    <t>Net Operating Income</t>
  </si>
  <si>
    <t>Other Activity</t>
  </si>
  <si>
    <t>Ground Lease Base Rent</t>
  </si>
  <si>
    <t>Deposits to Replacement Reserve Account</t>
  </si>
  <si>
    <t>Deposits to Other Restricted Accounts per Regulatory Agreement</t>
  </si>
  <si>
    <t>Deposits to Operating Reserve Account</t>
  </si>
  <si>
    <t>Withdrawals from Operating Reserve Account</t>
  </si>
  <si>
    <t>Withdrawals from Other Required Reserve Account</t>
  </si>
  <si>
    <t>Total Other Activity:</t>
  </si>
  <si>
    <t xml:space="preserve">Operating Cash Flow/Surplus Cash: </t>
  </si>
  <si>
    <t>Operating Reserve Replenishments</t>
  </si>
  <si>
    <t>Below-the-line Asset Management Fee</t>
  </si>
  <si>
    <t>Partnership Management Fee due from Reporting Period</t>
  </si>
  <si>
    <t>Partnership Management Fee due from Prior Periods</t>
  </si>
  <si>
    <t>Investor Services Fee (LP Asset Management Fee) due from Reporting Period</t>
  </si>
  <si>
    <t xml:space="preserve">Investor Services Fee (LP Asset Management Fee) due from Prior Periods </t>
  </si>
  <si>
    <t>Deferred Developer Fee</t>
  </si>
  <si>
    <t>Other Payments</t>
  </si>
  <si>
    <t xml:space="preserve">Miscellaneous Administrative Expenses </t>
  </si>
  <si>
    <t xml:space="preserve">Total Administrative Expenses: </t>
  </si>
  <si>
    <t xml:space="preserve">Total Utilities Expenses: </t>
  </si>
  <si>
    <t xml:space="preserve">Miscellaneous Operating and Maintenance Expenses </t>
  </si>
  <si>
    <t>Total Taxes and Licenses Expenses:</t>
  </si>
  <si>
    <t xml:space="preserve">Total Insurance Expenses: </t>
  </si>
  <si>
    <t xml:space="preserve">Total Maintenance and Repairs Expenses: </t>
  </si>
  <si>
    <t>Capital and Non-Capital Expenditures to be Reimbursed from Replacement Reserve</t>
  </si>
  <si>
    <t>Changes</t>
  </si>
  <si>
    <t>Other Source</t>
  </si>
  <si>
    <t xml:space="preserve">Total </t>
  </si>
  <si>
    <t>DistributionPriority</t>
  </si>
  <si>
    <t>MOHCD Residual Receipts Due for Loan Repayment</t>
  </si>
  <si>
    <t xml:space="preserve">MOHCD Residual Receipts Due for Ground Lease Residual Rent </t>
  </si>
  <si>
    <t>Proposed Owner Distribution</t>
  </si>
  <si>
    <t>Proposed Other Distribution/Uses</t>
  </si>
  <si>
    <t>Distribution of Surplus Cash Ahead of Residual Receipts Payments</t>
  </si>
  <si>
    <t>Distribution of Residual Receipts</t>
  </si>
  <si>
    <t xml:space="preserve">Total Cash Available for Residual Receipts Distribution: </t>
  </si>
  <si>
    <t>&lt;Max Priority # Before Residual Receipts</t>
  </si>
  <si>
    <t xml:space="preserve">Total Residual Receipts Distributions to Lenders: </t>
  </si>
  <si>
    <t xml:space="preserve">Total Payments preceding Residual Receipts Calculation: </t>
  </si>
  <si>
    <r>
      <rPr>
        <b/>
        <i/>
        <u/>
        <sz val="10"/>
        <rFont val="Arial"/>
        <family val="2"/>
      </rPr>
      <t>ahead</t>
    </r>
    <r>
      <rPr>
        <i/>
        <sz val="10"/>
        <rFont val="Arial"/>
        <family val="2"/>
      </rPr>
      <t xml:space="preserve"> of residual receipts payments. </t>
    </r>
  </si>
  <si>
    <t xml:space="preserve">with remaining residual receipts. </t>
  </si>
  <si>
    <t xml:space="preserve">Total Residual Receipts Distributions to Lenders and Owners: </t>
  </si>
  <si>
    <t>Expense</t>
  </si>
  <si>
    <t>Total Cash Available for Residual Receipts Distribution</t>
  </si>
  <si>
    <t>Total Residual Receipts Distributions to Lenders</t>
  </si>
  <si>
    <t xml:space="preserve">Total Residual Receipts Distributions to Lenders and Owners </t>
  </si>
  <si>
    <t>USES OF SURPLUS CASH THAT ARE AUTHORIZED TO BE PAID PRIOR TO CALCULATION OF RESIDUAL RECEIPTS PAYMENTS (IF APPLICABLE)</t>
  </si>
  <si>
    <r>
      <t xml:space="preserve">Distribution Priority
</t>
    </r>
    <r>
      <rPr>
        <sz val="9"/>
        <rFont val="Arial"/>
        <family val="2"/>
      </rPr>
      <t>(select below)</t>
    </r>
  </si>
  <si>
    <t xml:space="preserve">Total Residual Recipts Payments: </t>
  </si>
  <si>
    <t xml:space="preserve">Remaining Balance </t>
  </si>
  <si>
    <t>CHANGES TO REAL ESTATE ASSETS</t>
  </si>
  <si>
    <t xml:space="preserve">Replacement Reserve </t>
  </si>
  <si>
    <t>Total Amount</t>
  </si>
  <si>
    <t>PRAC - 202</t>
  </si>
  <si>
    <t>PRAC - 811</t>
  </si>
  <si>
    <t>2 thru 21</t>
  </si>
  <si>
    <t>=3</t>
  </si>
  <si>
    <r>
      <t xml:space="preserve">Utility Allowance 
</t>
    </r>
    <r>
      <rPr>
        <b/>
        <sz val="8"/>
        <rFont val="Arial"/>
        <family val="2"/>
      </rPr>
      <t xml:space="preserve">
(Enter $0 if all utilities. are included.)</t>
    </r>
  </si>
  <si>
    <t>For Drop Down - Don't Touch!</t>
  </si>
  <si>
    <t>Total Operating Revenue:</t>
  </si>
  <si>
    <t xml:space="preserve">Operating Revenue </t>
  </si>
  <si>
    <t xml:space="preserve">Total Operating Expenses: </t>
  </si>
  <si>
    <t xml:space="preserve">Select the Distribution Priority number from Worksheet 2. Fiscal Activity for payments to be paid </t>
  </si>
  <si>
    <t>Non-LOSP</t>
  </si>
  <si>
    <t xml:space="preserve">Mandatory Debt Service - Principal </t>
  </si>
  <si>
    <t xml:space="preserve">Mandatory Debt Service - Interest </t>
  </si>
  <si>
    <t>Mandatory Debt Service - Other Amount</t>
  </si>
  <si>
    <t>If amount for Surplus Cash above is negative:
  - you must provide a detailed explanation to question #8 on the Narrative worksheet
  - you must NOT supply data for any of the fields for Uses of Surplus Cash below</t>
  </si>
  <si>
    <t>Final Balance: should be ZERO except when Surplus Cash (cell F136) is negative</t>
  </si>
  <si>
    <t xml:space="preserve">Interest Earned: </t>
  </si>
  <si>
    <r>
      <t xml:space="preserve">Annual Withdrawal Amount </t>
    </r>
    <r>
      <rPr>
        <sz val="11"/>
        <rFont val="Arial"/>
        <family val="2"/>
      </rPr>
      <t>(enter as negative number):</t>
    </r>
  </si>
  <si>
    <t>Actual Annual Deposit:</t>
  </si>
  <si>
    <r>
      <t xml:space="preserve">Ending Balance </t>
    </r>
    <r>
      <rPr>
        <sz val="11"/>
        <rFont val="Arial"/>
        <family val="2"/>
      </rPr>
      <t>(don't edit cell -- calculated):</t>
    </r>
  </si>
  <si>
    <t>Interest Earned</t>
  </si>
  <si>
    <t>Allocation of Non-Residential Surplus (LOSP only)</t>
  </si>
  <si>
    <t>Financial Expenses</t>
  </si>
  <si>
    <t>HIDE THESE ROWS!!!</t>
  </si>
  <si>
    <t>Interest on Mortgage (or Bonds) Payable</t>
  </si>
  <si>
    <t>Interest on Other Mortgages</t>
  </si>
  <si>
    <t>Interest on Notes Payable (Long Term)</t>
  </si>
  <si>
    <t>Interest on Notes Payable (Short Term)</t>
  </si>
  <si>
    <t>Mortgage Insurance Premium/Service Charge</t>
  </si>
  <si>
    <t>Miscellaneous Financial Expenses</t>
  </si>
  <si>
    <t>Operating Profit (Loss):</t>
  </si>
  <si>
    <t>Total Cost of Operations before Depreciation:</t>
  </si>
  <si>
    <t>Depreciation &amp; Amortization Expenses</t>
  </si>
  <si>
    <t>Depreciation Expense</t>
  </si>
  <si>
    <t>Amortization Expense</t>
  </si>
  <si>
    <t>Net Entity Expenses</t>
  </si>
  <si>
    <t xml:space="preserve">Total Net Entity Expenses: </t>
  </si>
  <si>
    <t>Change in Total Net Assets from Operations (Net Loss)</t>
  </si>
  <si>
    <t xml:space="preserve">Enter Name/Description of Expense (e.g. Partnership Management Fee) below and amount to the right. </t>
  </si>
  <si>
    <t>Checks against Fiscal Activity WS</t>
  </si>
  <si>
    <r>
      <rPr>
        <b/>
        <sz val="10"/>
        <rFont val="Arial"/>
        <family val="2"/>
      </rPr>
      <t xml:space="preserve">TO AM ANALYSTS: </t>
    </r>
    <r>
      <rPr>
        <sz val="10"/>
        <rFont val="Arial"/>
        <family val="2"/>
      </rPr>
      <t xml:space="preserve">If Statement of Operations has been correctly entered, the Change in Total Net Assets from Operations (Net Loss) should equal the final number shown on the Statement of Operations (usually second exhibit) in the audit. </t>
    </r>
  </si>
  <si>
    <t xml:space="preserve">setting check to include next expense item down so if misc is left blank, then would be okay. </t>
  </si>
  <si>
    <t>After School Program</t>
  </si>
  <si>
    <t>Youth Programs</t>
  </si>
  <si>
    <t>Educational Classes (e.g. basic skills, computer training, ESL)</t>
  </si>
  <si>
    <t>Health and Wellness Services and Programs</t>
  </si>
  <si>
    <t>Employment Services</t>
  </si>
  <si>
    <t>Case Management, Information and Referrals</t>
  </si>
  <si>
    <t>Benefits Assistance and Advocacy; Money Management; Financial Literacy and Counseling</t>
  </si>
  <si>
    <t>Support Groups, Social Events, Organized Tenant Activities</t>
  </si>
  <si>
    <t>Enter Beginning and Ending Balances in each of the categories listed below. Changes in asset categories will auto calculate.</t>
  </si>
  <si>
    <t>=12</t>
  </si>
  <si>
    <t>=19</t>
  </si>
  <si>
    <t xml:space="preserve">Capital Repairs and Improvements Funded By: </t>
  </si>
  <si>
    <r>
      <t xml:space="preserve">Replacement Reserve-Eligible Expenditures: </t>
    </r>
    <r>
      <rPr>
        <sz val="11"/>
        <rFont val="Arial"/>
        <family val="2"/>
      </rPr>
      <t>Provide details below about the Capital and non-Capital Expenditures that are Replacement Reserve-eligible.</t>
    </r>
  </si>
  <si>
    <t>=9</t>
  </si>
  <si>
    <r>
      <t xml:space="preserve">“PRAC - 811” </t>
    </r>
    <r>
      <rPr>
        <sz val="14"/>
        <rFont val="Arial"/>
        <family val="2"/>
      </rPr>
      <t>= The unit receives a subsidy through a Project Rental Assistance Contract from HUD's 811 program.</t>
    </r>
  </si>
  <si>
    <r>
      <t xml:space="preserve">“PRAC - 202” </t>
    </r>
    <r>
      <rPr>
        <sz val="14"/>
        <rFont val="Arial"/>
        <family val="2"/>
      </rPr>
      <t>= The unit receives a subsidy through a Project Rental Assistance Contract from HUD's 202 program.</t>
    </r>
  </si>
  <si>
    <t>Licensed Day Care Services</t>
  </si>
  <si>
    <t xml:space="preserve">Total Financial Expenses: </t>
  </si>
  <si>
    <r>
      <t xml:space="preserve">Number of households in the project who received Notices of Eviction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</si>
  <si>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 xml:space="preserve">Number of unlawful detainer actions filed in court by the owner against tenants in the project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</si>
  <si>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Number of households evicted from the project during the reporting period for the each of the following reasons:</t>
    </r>
    <r>
      <rPr>
        <sz val="12"/>
        <rFont val="Arial"/>
        <family val="2"/>
      </rPr>
      <t xml:space="preserve">
(If more than one reason applies to a household, report only the primary reason.) </t>
    </r>
    <r>
      <rPr>
        <b/>
        <i/>
        <sz val="11"/>
        <color rgb="FFFF0000"/>
        <rFont val="Arial"/>
        <family val="2"/>
      </rPr>
      <t>You MUST answer every question (i.e., enter zero if applicable).</t>
    </r>
  </si>
  <si>
    <t xml:space="preserve">Enter amounts in yellow highlighted cells. Leave no cells blank. Enter "0" if applicable.  </t>
  </si>
  <si>
    <t>Worksheet 1A.</t>
  </si>
  <si>
    <t>Worksheet 1B.</t>
  </si>
  <si>
    <t>Worksheet 1C.</t>
  </si>
  <si>
    <t>Worksheet 2.</t>
  </si>
  <si>
    <t>Worksheet 4.</t>
  </si>
  <si>
    <t>Worksheet 5.</t>
  </si>
  <si>
    <t>Worksheet 6.</t>
  </si>
  <si>
    <t>Worksheet 7.</t>
  </si>
  <si>
    <t xml:space="preserve">for checking for </t>
  </si>
  <si>
    <t>completeness</t>
  </si>
  <si>
    <t>Hide these columns. Used</t>
  </si>
  <si>
    <r>
      <t>Non-Capital Replacement Reserve Eligible Expenditures (i.e., labor costs):</t>
    </r>
    <r>
      <rPr>
        <sz val="10"/>
        <rFont val="Arial"/>
        <family val="2"/>
      </rPr>
      <t xml:space="preserve"> Enter the amounts used to fund non-capital replacement reserve eligiblie expenditures. Use section below to supply explanations. </t>
    </r>
  </si>
  <si>
    <t>MOHCD Operating Fees Policy</t>
  </si>
  <si>
    <t>Bond Monitoring Fee</t>
  </si>
  <si>
    <t>Go to ws4 Narrative question #1</t>
  </si>
  <si>
    <t>Capital Repairs and Improvements - Categories</t>
  </si>
  <si>
    <r>
      <rPr>
        <sz val="10"/>
        <rFont val="Arial"/>
        <family val="2"/>
      </rPr>
      <t xml:space="preserve">Operating Account </t>
    </r>
    <r>
      <rPr>
        <strike/>
        <sz val="10"/>
        <rFont val="Arial"/>
        <family val="2"/>
      </rPr>
      <t/>
    </r>
  </si>
  <si>
    <t>Description of Capital Repairs and Improvements</t>
  </si>
  <si>
    <t>Do not Delete the orange highlighted cells! They are needed for drop downs in ws6</t>
  </si>
  <si>
    <t xml:space="preserve">Use this template to satisfy the audit requirement for MOHCD-funded projects. Project Owners/auditors may enter data directly into this worksheet and then print it to create the required Supplemental Schedules in the Audited Financial Statement. Alternatively, the audit requirement may be satisified by using a form generated by the Sponsor's accounting system, as long as the form includes all the elements contained within MOHCD's template. </t>
  </si>
  <si>
    <t>Amount computed in cell E139 should match audited financial statement.</t>
  </si>
  <si>
    <t>Proj_Key</t>
  </si>
  <si>
    <t>Proj_Project Name</t>
  </si>
  <si>
    <t>1912 McAllister</t>
  </si>
  <si>
    <t>26th Street Cooperative Apartments</t>
  </si>
  <si>
    <t>A WOMANS PLACE</t>
  </si>
  <si>
    <t>Alcantara Court</t>
  </si>
  <si>
    <t>Autumn Glow</t>
  </si>
  <si>
    <t>Baker's Dozen</t>
  </si>
  <si>
    <t>Brennan House</t>
  </si>
  <si>
    <t>Cadillac Hotel</t>
  </si>
  <si>
    <t>Cameo House</t>
  </si>
  <si>
    <t>Canon Kip Community House</t>
  </si>
  <si>
    <t>Casa Aviva</t>
  </si>
  <si>
    <t>Casa Quezada</t>
  </si>
  <si>
    <t>Curry Senior Center Apartments</t>
  </si>
  <si>
    <t>Dunleavy Plaza</t>
  </si>
  <si>
    <t>Eddy Street Apartments</t>
  </si>
  <si>
    <t>El Dorado Hotel</t>
  </si>
  <si>
    <t>Eugene Coleman Senior Community</t>
  </si>
  <si>
    <t>Ferguson Place</t>
  </si>
  <si>
    <t>Friendship House</t>
  </si>
  <si>
    <t>Glenridge Apartments</t>
  </si>
  <si>
    <t>Hamilton Family Transitional Program</t>
  </si>
  <si>
    <t>Iroquois Hotel</t>
  </si>
  <si>
    <t>Jelani Family Program</t>
  </si>
  <si>
    <t>Jelani House</t>
  </si>
  <si>
    <t>Jordan Apartments</t>
  </si>
  <si>
    <t>Kokoro Assisted Living Facility</t>
  </si>
  <si>
    <t>La Playa Apartments</t>
  </si>
  <si>
    <t>Lady Shaw</t>
  </si>
  <si>
    <t>Leland Apartments</t>
  </si>
  <si>
    <t>Lyric Hotel</t>
  </si>
  <si>
    <t>Mary Elizabeth Inn</t>
  </si>
  <si>
    <t>McAllister Street Co-ops</t>
  </si>
  <si>
    <t>Midori Hotel</t>
  </si>
  <si>
    <t>Odyssey House</t>
  </si>
  <si>
    <t>Progress Apartments</t>
  </si>
  <si>
    <t>Richard M. Cohen Residence</t>
  </si>
  <si>
    <t>Rose Court</t>
  </si>
  <si>
    <t>San Cristina</t>
  </si>
  <si>
    <t>St. Joseph's Family Shelter</t>
  </si>
  <si>
    <t>Veterans Academy</t>
  </si>
  <si>
    <t>Walden Adolescent</t>
  </si>
  <si>
    <t>Webster Apartments</t>
  </si>
  <si>
    <t>Women's Hope</t>
  </si>
  <si>
    <r>
      <t>Property</t>
    </r>
    <r>
      <rPr>
        <b/>
        <sz val="14"/>
        <rFont val="Arial"/>
        <family val="2"/>
      </rPr>
      <t xml:space="preserve"> Name </t>
    </r>
    <r>
      <rPr>
        <sz val="14"/>
        <rFont val="Arial"/>
        <family val="2"/>
      </rPr>
      <t>(select from drop down)</t>
    </r>
  </si>
  <si>
    <r>
      <t xml:space="preserve">Vacancies - </t>
    </r>
    <r>
      <rPr>
        <sz val="14"/>
        <rFont val="Arial"/>
        <family val="2"/>
      </rPr>
      <t>How many vacancies occurred at the project during the reporting period? (Be sure that the number you report here is not less than the number of vacant units that are included on worksheet 3.)</t>
    </r>
  </si>
  <si>
    <t xml:space="preserve">If the project had NEGATIVE CASH FLOW, as may be shown above from the Income Expense section of worksheet "2.Fiscal," you must supply the following: </t>
  </si>
  <si>
    <t>Supplementary Information Required by MOHCD</t>
  </si>
  <si>
    <t>Washburn Hotel</t>
  </si>
  <si>
    <t>TIHDI: TISH Phases 1 &amp; 2</t>
  </si>
  <si>
    <t>TIHDI: Island Bay Homes</t>
  </si>
  <si>
    <t>TIHDI: Female Offender Treatment and Education Program</t>
  </si>
  <si>
    <t>TIHDI: 1445 Chinook</t>
  </si>
  <si>
    <t>Tennessee Street Housing Corporation</t>
  </si>
  <si>
    <t>Swords to Plowshares (De Montfort)</t>
  </si>
  <si>
    <t>St. Olga's Home</t>
  </si>
  <si>
    <t>Senator Residence</t>
  </si>
  <si>
    <t>Martin Luther King-Marcus Garvey Square Cooperative Apartments</t>
  </si>
  <si>
    <t>Larkin St Assisted Care Program</t>
  </si>
  <si>
    <t>Eddy Street Apartments (CATS)</t>
  </si>
  <si>
    <t>Abel Gonzales Apartments</t>
  </si>
  <si>
    <t>214 Dolores</t>
  </si>
  <si>
    <t>1761-1765 Page</t>
  </si>
  <si>
    <t>1340 Portola</t>
  </si>
  <si>
    <t>Interest Income - Project Operations (From Operating Account Only)</t>
  </si>
  <si>
    <t>Interest Revenue - Project Operations (From Operating Acct Only)</t>
  </si>
  <si>
    <t>Interest Revenue - Project Operations (From All Other Accts)</t>
  </si>
  <si>
    <t>Interest earned on restricted accounts</t>
  </si>
  <si>
    <t>Adjusted Operating Revenue</t>
  </si>
  <si>
    <t>Operating Profit (Loss) after Deprecieation &amp; Amortization:</t>
  </si>
  <si>
    <t xml:space="preserve">For Surplus Cash/RR </t>
  </si>
  <si>
    <t>Drop Down - DON'T TOUCH!</t>
  </si>
  <si>
    <t>Pre-authorized alternative LOSP split for contracts</t>
  </si>
  <si>
    <t>Describe how the amount of annual deposit and the minimum required balance is determined.</t>
  </si>
  <si>
    <t>RezRctsLender5Amt</t>
  </si>
  <si>
    <t>DistPriority1</t>
  </si>
  <si>
    <t>DistDescipt</t>
  </si>
  <si>
    <t>DistPriority2</t>
  </si>
  <si>
    <t>DistPriority3</t>
  </si>
  <si>
    <t>DistPriority4</t>
  </si>
  <si>
    <t>DistPriority5</t>
  </si>
  <si>
    <t>DistPriority6</t>
  </si>
  <si>
    <t>DistPriority7</t>
  </si>
  <si>
    <t>DistPriority8</t>
  </si>
  <si>
    <t>DistPriority9</t>
  </si>
  <si>
    <t>DistPriority10</t>
  </si>
  <si>
    <t>DistPriority11</t>
  </si>
  <si>
    <t>DistPriority12</t>
  </si>
  <si>
    <t>DistPriority13</t>
  </si>
  <si>
    <t>DistPriority14</t>
  </si>
  <si>
    <t>DistPriority15</t>
  </si>
  <si>
    <t>OpRsrv_Int</t>
  </si>
  <si>
    <t>ReplRsrv_Int</t>
  </si>
  <si>
    <t>CapExp_BldgImpr_ReplRsrv_Amt</t>
  </si>
  <si>
    <t>CapExp_BldgImpr_Other_Amt</t>
  </si>
  <si>
    <t>CapExp_BldgImpr_OpAcct_Amt</t>
  </si>
  <si>
    <t>CapExp_SiteImpr_ReplRsrv_Amt</t>
  </si>
  <si>
    <t>CapExp_SiteImpr_OpAcct_Amt</t>
  </si>
  <si>
    <t>CapExp_SiteImpr_Other_Amt</t>
  </si>
  <si>
    <t>CapExp_LandImpr_ReplRsrv_Amt</t>
  </si>
  <si>
    <t>CapExp_LandImpr_OpAcct_Amt</t>
  </si>
  <si>
    <t>CapExp_LandImpr_Other_Amt</t>
  </si>
  <si>
    <t>CapExp_OffsiteImpr_ReplRsrv_Amt</t>
  </si>
  <si>
    <t>CapExp_OffsiteImpr_OpAcct_Amt</t>
  </si>
  <si>
    <t>CapExp_OffsiteImpr_Other_Amt</t>
  </si>
  <si>
    <t>CapExp_FurntrFixtrEquip_ReplRsrv_Amt</t>
  </si>
  <si>
    <t>CapExp_FurntrFixtrEquip_OpAcct_Amt</t>
  </si>
  <si>
    <t>CapExp_FurntrFixtrEquip_Other_Amt</t>
  </si>
  <si>
    <t>CapExp_Other_ReptRsrv_Amt</t>
  </si>
  <si>
    <t>CapExp_Other_OpAcct_Amt</t>
  </si>
  <si>
    <t>CapExp_Other_Other_Amt</t>
  </si>
  <si>
    <t>CapExp_BldgImpr_BegBal</t>
  </si>
  <si>
    <t>CapExp_BldgImpr_EndBal</t>
  </si>
  <si>
    <t>CapExp_BldgImpr_Change</t>
  </si>
  <si>
    <t>CapExp_OffsiteImpr_BegBal</t>
  </si>
  <si>
    <t>CapExp_SiteImpr_BegBal</t>
  </si>
  <si>
    <t>CapExp_LandImpr_BegBal</t>
  </si>
  <si>
    <t>CapExp_FurntrFixtrEquip_BegBal</t>
  </si>
  <si>
    <t>CapExp_Other_BegBal</t>
  </si>
  <si>
    <t>CapExp_OffsiteImpr_EndBal</t>
  </si>
  <si>
    <t>CapExp_SiteImpr_EndBal</t>
  </si>
  <si>
    <t>CapExp_LandImpr_EndBal</t>
  </si>
  <si>
    <t>CapExp_FurntrFixtrEquip_EndBal</t>
  </si>
  <si>
    <t>CapExp_Other_EndBal</t>
  </si>
  <si>
    <t>CapExp_OffsiteImpr_Change</t>
  </si>
  <si>
    <t>CapExp_SiteImpr_Change</t>
  </si>
  <si>
    <t>CapExp_LandImpr_Change</t>
  </si>
  <si>
    <t>CapExp_FurntrFixtrEquip_Change</t>
  </si>
  <si>
    <t>CapExp_Other_Change</t>
  </si>
  <si>
    <t>RR_Elgbl_non-cap_pdByOtherSource</t>
  </si>
  <si>
    <t>RRProposedRezRcts-TOTAL</t>
  </si>
  <si>
    <t>RY</t>
  </si>
  <si>
    <t>=21</t>
  </si>
  <si>
    <t xml:space="preserve">The instructions and definitions below are organized by the worksheets contained within this Annual Monitoring Report. Please review the instructions below and within each worksheet thoroughly as instructions may have changed.                             
</t>
  </si>
  <si>
    <t>Ethnicity</t>
  </si>
  <si>
    <t>Race</t>
  </si>
  <si>
    <t>Submission Instructions:</t>
  </si>
  <si>
    <t xml:space="preserve">Once all worksheets below are "COMPLETED", email the AMR, completed Owner Compliance Certiication, along with the attachments </t>
  </si>
  <si>
    <t xml:space="preserve">moh.amr@sfgov.org. </t>
  </si>
  <si>
    <t>Hispanic/Latino</t>
  </si>
  <si>
    <t>Not Hispanic/Latino</t>
  </si>
  <si>
    <t>American Indian/Alaskan Native</t>
  </si>
  <si>
    <t>Asian</t>
  </si>
  <si>
    <t>Black/African American</t>
  </si>
  <si>
    <t>Native Hawaiian/Other Pacific Islander</t>
  </si>
  <si>
    <t>White</t>
  </si>
  <si>
    <r>
      <t xml:space="preserve">American Indian/Alaskan Native </t>
    </r>
    <r>
      <rPr>
        <i/>
        <u/>
        <sz val="10"/>
        <rFont val="Arial"/>
        <family val="2"/>
      </rPr>
      <t>and</t>
    </r>
    <r>
      <rPr>
        <sz val="10"/>
        <rFont val="Arial"/>
        <family val="2"/>
      </rPr>
      <t xml:space="preserve"> Black/African American</t>
    </r>
  </si>
  <si>
    <r>
      <t xml:space="preserve">American Indian/Alaskan Native </t>
    </r>
    <r>
      <rPr>
        <i/>
        <u/>
        <sz val="10"/>
        <rFont val="Arial"/>
        <family val="2"/>
      </rPr>
      <t>and</t>
    </r>
    <r>
      <rPr>
        <sz val="10"/>
        <rFont val="Arial"/>
        <family val="2"/>
      </rPr>
      <t xml:space="preserve"> White</t>
    </r>
  </si>
  <si>
    <r>
      <t xml:space="preserve">Asian </t>
    </r>
    <r>
      <rPr>
        <i/>
        <u/>
        <sz val="10"/>
        <rFont val="Arial"/>
        <family val="2"/>
      </rPr>
      <t>and</t>
    </r>
    <r>
      <rPr>
        <sz val="10"/>
        <rFont val="Arial"/>
        <family val="2"/>
      </rPr>
      <t xml:space="preserve"> White</t>
    </r>
  </si>
  <si>
    <r>
      <t xml:space="preserve">Black/African American </t>
    </r>
    <r>
      <rPr>
        <i/>
        <u/>
        <sz val="10"/>
        <rFont val="Arial"/>
        <family val="2"/>
      </rPr>
      <t>and</t>
    </r>
    <r>
      <rPr>
        <sz val="10"/>
        <rFont val="Arial"/>
        <family val="2"/>
      </rPr>
      <t xml:space="preserve"> White</t>
    </r>
  </si>
  <si>
    <t>Other/Multiracial</t>
  </si>
  <si>
    <r>
      <t xml:space="preserve">Household Size (number) as of Most Recent Recertification </t>
    </r>
    <r>
      <rPr>
        <b/>
        <sz val="10"/>
        <rFont val="Arial"/>
        <family val="2"/>
      </rPr>
      <t>WITHIN REPORTING PERIOD</t>
    </r>
  </si>
  <si>
    <t xml:space="preserve">If the project had miscellaneous administrative or miscellaneous operating &amp; maintenance expenses greater than $10,000 respectively, you must provide a detailed itemization of these individual expenses below. Total expenses must equal the total amount reported on the worksheet "2.Fiscal." </t>
  </si>
  <si>
    <r>
      <t xml:space="preserve">Capital Maintenance Repairs/Improvements eligible for payment by Replacement Reserve. </t>
    </r>
    <r>
      <rPr>
        <sz val="10"/>
        <rFont val="Arial"/>
        <family val="2"/>
      </rPr>
      <t>If capital costs were entered in amounts for Maintenance &amp; Repairs section above and are eligible for payment by the Replacement Reserve, please enter details in Replacement Reserve-Eligible Expenditures below, beginning from row 207. Amounts provided in F210:215 will be linked to cell F102 and netted out from operating expenses.</t>
    </r>
  </si>
  <si>
    <r>
      <t xml:space="preserve">Non-Capital Maintenance Repair Expenses eligible for payment by Replacement Reserve. </t>
    </r>
    <r>
      <rPr>
        <sz val="10"/>
        <rFont val="Arial"/>
        <family val="2"/>
      </rPr>
      <t>Only enter amounts here if they were included in amounts entered for Maintenance &amp; Repairs section above and will be reimbursed by Replacement Reserve. Amount will be netted out from operating expenses. Enter as positive number.</t>
    </r>
  </si>
  <si>
    <t xml:space="preserve">Replacement Reserve Required Annual Deposit (Source is Operating Account.) Enter as positive number. </t>
  </si>
  <si>
    <t xml:space="preserve">Operating Reserve Deposits (Source is Operating Account.) Enter as positive number. </t>
  </si>
  <si>
    <t xml:space="preserve">Other Required Reserve Account Deposits (Source is Operating Account. Enter as positive number. Identify reserve account in next col) (1330) </t>
  </si>
  <si>
    <t>3A. Occupancy &amp; Rent Info</t>
  </si>
  <si>
    <t>3B. Demographic</t>
  </si>
  <si>
    <t>Worksheet 3A.</t>
  </si>
  <si>
    <t>Demographic Information</t>
  </si>
  <si>
    <t>American Indian/Alaskan Native and Black/African American</t>
  </si>
  <si>
    <t xml:space="preserve">Please follow the instructions provided on the worksheet. </t>
  </si>
  <si>
    <t>PROPERTY/MARKETING INFO</t>
  </si>
  <si>
    <t>25 thru 39</t>
  </si>
  <si>
    <r>
      <t xml:space="preserve">What is the Unit Mix for the Property? </t>
    </r>
    <r>
      <rPr>
        <sz val="12"/>
        <rFont val="Arial"/>
        <family val="2"/>
      </rPr>
      <t xml:space="preserve">Please include any manager's units in this tally. </t>
    </r>
  </si>
  <si>
    <r>
      <t>Resident Services:</t>
    </r>
    <r>
      <rPr>
        <sz val="14"/>
        <rFont val="Arial"/>
        <family val="2"/>
      </rPr>
      <t xml:space="preserve"> AN ANSWER IS REQUIRED FOR questions 51-61. Indicate below any services that were available to the residents free of charge, on site or at another designated location within 1/4 mile of the project. You must also provide additional information about each of the marked services below on Worksheet "6.Services" </t>
    </r>
    <r>
      <rPr>
        <b/>
        <i/>
        <sz val="14"/>
        <rFont val="Arial"/>
        <family val="2"/>
      </rPr>
      <t/>
    </r>
  </si>
  <si>
    <t>=14</t>
  </si>
  <si>
    <t>For complete need:</t>
  </si>
  <si>
    <t>=4</t>
  </si>
  <si>
    <t>if C77&lt;9 then incomplete for 41-51</t>
  </si>
  <si>
    <t xml:space="preserve">if D77&gt;=1 then reqd to enter on ws6 </t>
  </si>
  <si>
    <t>Household Size</t>
  </si>
  <si>
    <t>Last Day of Reporting Period</t>
  </si>
  <si>
    <t>Head of Household Race/Ethnicity</t>
  </si>
  <si>
    <t>One Person Household</t>
  </si>
  <si>
    <t>Two Person Household</t>
  </si>
  <si>
    <t>Three Person Household</t>
  </si>
  <si>
    <t>Four Person Household</t>
  </si>
  <si>
    <t>Five Person Household</t>
  </si>
  <si>
    <t>Six Person Household</t>
  </si>
  <si>
    <t>Seven or more Person Household</t>
  </si>
  <si>
    <t>American Indian/Alaskan Native and White</t>
  </si>
  <si>
    <t>Asian and White</t>
  </si>
  <si>
    <t>Black/African American and White</t>
  </si>
  <si>
    <t>Elderly Households</t>
  </si>
  <si>
    <t>Number of Children Under 18</t>
  </si>
  <si>
    <t>None</t>
  </si>
  <si>
    <t>Households with Children Under 18</t>
  </si>
  <si>
    <t>% of Total</t>
  </si>
  <si>
    <t>Other Household Demographics</t>
  </si>
  <si>
    <t>Households with Tenant with No Disability</t>
  </si>
  <si>
    <t>HIV/AIDS</t>
  </si>
  <si>
    <t># Reported Households</t>
  </si>
  <si>
    <t># Reported Head of HH</t>
  </si>
  <si>
    <t># Reported</t>
  </si>
  <si>
    <t>Target and Actual Population Served</t>
  </si>
  <si>
    <t>TOTAL Households*</t>
  </si>
  <si>
    <t>Total Head of Households</t>
  </si>
  <si>
    <t>Summary of Reported Household Demographics</t>
  </si>
  <si>
    <t>Worksheet 3C.</t>
  </si>
  <si>
    <t>Worksheet 3B.</t>
  </si>
  <si>
    <t xml:space="preserve">required under the Insurance and Tax Certification per page 3 of the Owner Certification, waitlist, and audited financial statements to: </t>
  </si>
  <si>
    <t xml:space="preserve">  </t>
  </si>
  <si>
    <r>
      <t>d. If the project has a Project-Based Section 8 Housing Assistance Payments (HAP) contract,   
     please also supply the date of the last increase to the HAP contract, the date when the 
     project will submit the next HAP contract rent increase, and any related comments about 
     whether the project has been diligent in seeking annual increases to the HAP contract</t>
    </r>
    <r>
      <rPr>
        <sz val="11"/>
        <rFont val="Calibri"/>
        <family val="2"/>
      </rPr>
      <t>.</t>
    </r>
  </si>
  <si>
    <r>
      <t>Column D - "</t>
    </r>
    <r>
      <rPr>
        <b/>
        <sz val="14"/>
        <rFont val="CG Omega (W1)"/>
      </rPr>
      <t>Account Number"</t>
    </r>
    <r>
      <rPr>
        <sz val="14"/>
        <rFont val="CG Omega (W1)"/>
      </rPr>
      <t>. Each number represents an account in the Chart of Accounts, see below for more info.</t>
    </r>
  </si>
  <si>
    <r>
      <t xml:space="preserve">Column F - </t>
    </r>
    <r>
      <rPr>
        <b/>
        <sz val="14"/>
        <rFont val="CG Omega (W1)"/>
      </rPr>
      <t>"Residential"</t>
    </r>
    <r>
      <rPr>
        <sz val="14"/>
        <rFont val="CG Omega (W1)"/>
      </rPr>
      <t>. This column is for the essential recurring income and expenses related to the operation of a rental housing property, group home, project serving special needs populations or a transitional housing program.</t>
    </r>
  </si>
  <si>
    <r>
      <t xml:space="preserve">Column H - </t>
    </r>
    <r>
      <rPr>
        <b/>
        <sz val="14"/>
        <rFont val="CG Omega (W1)"/>
      </rPr>
      <t>"Non-Residential"</t>
    </r>
    <r>
      <rPr>
        <sz val="14"/>
        <rFont val="CG Omega (W1)"/>
      </rPr>
      <t xml:space="preserve">. This column is used to report income and expenses related to commercial space or other non-residential space in a project. </t>
    </r>
  </si>
  <si>
    <r>
      <rPr>
        <u/>
        <sz val="14"/>
        <rFont val="CG Omega (W1)"/>
      </rPr>
      <t>5300 Supportive Services Income.</t>
    </r>
    <r>
      <rPr>
        <sz val="14"/>
        <rFont val="CG Omega (W1)"/>
      </rPr>
      <t xml:space="preserve">  Accounts in this series are used primarily by group home projects or other projects restricted to a special needs population (e.g., group home for mentally disabled or senior apartments).  These accounts record revenues received or payable (other than rents) for services provided to tenants (e.g., meal services, housekeeping, etc.). Supportive service-related expenses are charged to accounts in the 6900 series.  Enter the total of all revenues received or payable, and identify the source(s) of the income in cell D39.</t>
    </r>
  </si>
  <si>
    <r>
      <rPr>
        <u/>
        <sz val="14"/>
        <rFont val="CG Omega (W1)"/>
      </rPr>
      <t>XXXX Operating Reserve Account Withdrawals.</t>
    </r>
    <r>
      <rPr>
        <sz val="14"/>
        <rFont val="CG Omega (W1)"/>
      </rPr>
      <t xml:space="preserve"> Enter the total amount of withdrawals made from the Operating Reserve, which will be deposited into the project's Operating Account during the reporting period. </t>
    </r>
  </si>
  <si>
    <r>
      <rPr>
        <u/>
        <sz val="14"/>
        <rFont val="CG Omega (W1)"/>
      </rPr>
      <t>1320 Replacement Reserve Required Annual Deposits.</t>
    </r>
    <r>
      <rPr>
        <sz val="14"/>
        <rFont val="CG Omega (W1)"/>
      </rPr>
      <t xml:space="preserve"> This account records the required amount of deposits made to a segregated Replacement Reserve bank account from the project's Operating Account during the reporting period. See below for more guidance about data entry required for replacement reserve eligible expenditures. </t>
    </r>
  </si>
  <si>
    <r>
      <rPr>
        <u/>
        <sz val="14"/>
        <rFont val="CG Omega (W1)"/>
      </rPr>
      <t>1365 Operating Reserve Deposits.</t>
    </r>
    <r>
      <rPr>
        <sz val="14"/>
        <rFont val="CG Omega (W1)"/>
      </rPr>
      <t xml:space="preserve">  This account records amount of deposits made to a segregated Operating Reserve bank account from the project's Operating Account during the report period.</t>
    </r>
  </si>
  <si>
    <r>
      <rPr>
        <u/>
        <sz val="14"/>
        <rFont val="CG Omega (W1)"/>
      </rPr>
      <t>1330  Other Reserve Accounts - Deposits.</t>
    </r>
    <r>
      <rPr>
        <sz val="14"/>
        <rFont val="CG Omega (W1)"/>
      </rPr>
      <t xml:space="preserve"> This account records amount of deposits made to segregated reserve bank accounts not identified above during the report period. Deposits are assumed to have been funded by the project's operating account and will decrease the surplus cash amount in row 136. You should provide the name of the account in cell D132.</t>
    </r>
  </si>
  <si>
    <r>
      <rPr>
        <u/>
        <sz val="14"/>
        <rFont val="CG Omega (W1)"/>
      </rPr>
      <t>XXXX Other Reserve Accounts - Withdrawals.</t>
    </r>
    <r>
      <rPr>
        <sz val="14"/>
        <rFont val="CG Omega (W1)"/>
      </rPr>
      <t xml:space="preserve"> This line is used to record the amount of withdrawals made from other segregated reserve bank accounts during the reporting period. Withdrawals entered are assumed to have been deposited into the project's operating account and will increase the surplus cash amount in row 136. You should provide the name of the account in cell D133. </t>
    </r>
  </si>
  <si>
    <r>
      <t xml:space="preserve">Accurate and complete household and tenancy data must be submitted on the Occupancy &amp; Rent Info worksheet as evidence that the project complies with the income eligibility and rent affordability restrictions of MOHCD's funding agreements.   Enter the data described below into the chart in Section 3a - Occupancy &amp; Rent Info for the tenant population that occupied the project as of the end of the reporting period.  </t>
    </r>
    <r>
      <rPr>
        <i/>
        <sz val="14"/>
        <rFont val="Arial"/>
        <family val="2"/>
      </rPr>
      <t>For vacant units and manager's units, you must supply data in columns D, E,  P, R and T. All other columns should be left blank.</t>
    </r>
  </si>
  <si>
    <r>
      <t>Overhoused or Overcrowded?</t>
    </r>
    <r>
      <rPr>
        <sz val="14"/>
        <rFont val="Arial"/>
        <family val="2"/>
      </rPr>
      <t xml:space="preserve">  The data here is automatically generated based on entries in column K and on items 26-32 on Worksheet #1A.</t>
    </r>
  </si>
  <si>
    <t xml:space="preserve">Q. </t>
  </si>
  <si>
    <t>V.</t>
  </si>
  <si>
    <t>W.</t>
  </si>
  <si>
    <r>
      <t>The two ethnic categories are defined below: 
     •</t>
    </r>
    <r>
      <rPr>
        <b/>
        <sz val="14"/>
        <rFont val="Arial"/>
        <family val="2"/>
      </rPr>
      <t xml:space="preserve"> Hispanic or Latino.</t>
    </r>
    <r>
      <rPr>
        <sz val="14"/>
        <rFont val="Arial"/>
        <family val="2"/>
      </rPr>
      <t xml:space="preserve"> A person of Cuban, Mexican, Puerto Rican, South or Central American, or other Spanish culture or 
        origin, regardless of race. The term “Spanish origin” can be used in addition to “Hispanic” or “Latino.” 
     • </t>
    </r>
    <r>
      <rPr>
        <b/>
        <sz val="14"/>
        <rFont val="Arial"/>
        <family val="2"/>
      </rPr>
      <t>Not Hispanic or Latino.</t>
    </r>
    <r>
      <rPr>
        <sz val="14"/>
        <rFont val="Arial"/>
        <family val="2"/>
      </rPr>
      <t xml:space="preserve"> A person not of Cuban, Mexican, Puerto Rican, South or Central American, or other Spanish 
       culture or origin, regardless of race. </t>
    </r>
  </si>
  <si>
    <r>
      <t xml:space="preserve">The 10 racial categories are defined below: 
     • </t>
    </r>
    <r>
      <rPr>
        <b/>
        <sz val="14"/>
        <rFont val="Arial"/>
        <family val="2"/>
      </rPr>
      <t>American Indian or Alaska Native.</t>
    </r>
    <r>
      <rPr>
        <sz val="14"/>
        <rFont val="Arial"/>
        <family val="2"/>
      </rPr>
      <t xml:space="preserve"> A person having origins in any of the original peoples of North and South America  
       (including Central America), and who maintains tribal affiliation or community attachment. 
     • </t>
    </r>
    <r>
      <rPr>
        <b/>
        <sz val="14"/>
        <rFont val="Arial"/>
        <family val="2"/>
      </rPr>
      <t>Asian.</t>
    </r>
    <r>
      <rPr>
        <sz val="14"/>
        <rFont val="Arial"/>
        <family val="2"/>
      </rPr>
      <t xml:space="preserve"> A person having origins in any of the original peoples of the Far East, Southeast Asia, or the Indian subcontinent 
       including, for example, Cambodia, China, India, Japan, Korea, Malaysia, Pakistan, the Philippine Islands, Thailand, and 
       Vietnam. 
     • </t>
    </r>
    <r>
      <rPr>
        <b/>
        <sz val="14"/>
        <rFont val="Arial"/>
        <family val="2"/>
      </rPr>
      <t xml:space="preserve">Black or African American. </t>
    </r>
    <r>
      <rPr>
        <sz val="14"/>
        <rFont val="Arial"/>
        <family val="2"/>
      </rPr>
      <t xml:space="preserve">A person having origins in any of the black racial groups of Africa. 
     • </t>
    </r>
    <r>
      <rPr>
        <b/>
        <sz val="14"/>
        <rFont val="Arial"/>
        <family val="2"/>
      </rPr>
      <t>Native Hawaiian or Other Pacific Islander.</t>
    </r>
    <r>
      <rPr>
        <sz val="14"/>
        <rFont val="Arial"/>
        <family val="2"/>
      </rPr>
      <t xml:space="preserve"> A person having origins in any of the original peoples of Hawaii, Guam, 
       Samoa, or other Pacific Islands. 
     • </t>
    </r>
    <r>
      <rPr>
        <b/>
        <sz val="14"/>
        <rFont val="Arial"/>
        <family val="2"/>
      </rPr>
      <t>White.</t>
    </r>
    <r>
      <rPr>
        <sz val="14"/>
        <rFont val="Arial"/>
        <family val="2"/>
      </rPr>
      <t xml:space="preserve"> A person having origins in any of the original peoples of Europe, the Middle East or North Africa.
     • </t>
    </r>
    <r>
      <rPr>
        <b/>
        <sz val="14"/>
        <rFont val="Arial"/>
        <family val="2"/>
      </rPr>
      <t>American Indian or Alaska Native and Black or African American.</t>
    </r>
    <r>
      <rPr>
        <sz val="14"/>
        <rFont val="Arial"/>
        <family val="2"/>
      </rPr>
      <t xml:space="preserve"> A person having these multiple race heritages 
       as defined above.
     • </t>
    </r>
    <r>
      <rPr>
        <b/>
        <sz val="14"/>
        <rFont val="Arial"/>
        <family val="2"/>
      </rPr>
      <t>American Indian or Alaska Native and White.</t>
    </r>
    <r>
      <rPr>
        <sz val="14"/>
        <rFont val="Arial"/>
        <family val="2"/>
      </rPr>
      <t xml:space="preserve"> A person having these multiple race heritages as defined above.
     • </t>
    </r>
    <r>
      <rPr>
        <b/>
        <sz val="14"/>
        <rFont val="Arial"/>
        <family val="2"/>
      </rPr>
      <t>Asian and White.</t>
    </r>
    <r>
      <rPr>
        <sz val="14"/>
        <rFont val="Arial"/>
        <family val="2"/>
      </rPr>
      <t xml:space="preserve"> A person having these multiple race heritages as defined above.
     • </t>
    </r>
    <r>
      <rPr>
        <b/>
        <sz val="14"/>
        <rFont val="Arial"/>
        <family val="2"/>
      </rPr>
      <t>Black or African American and White.</t>
    </r>
    <r>
      <rPr>
        <sz val="14"/>
        <rFont val="Arial"/>
        <family val="2"/>
      </rPr>
      <t xml:space="preserve"> A person having these multiple race heritages as defined above.
     • </t>
    </r>
    <r>
      <rPr>
        <b/>
        <sz val="14"/>
        <rFont val="Arial"/>
        <family val="2"/>
      </rPr>
      <t>Other/Multi-Racial.</t>
    </r>
    <r>
      <rPr>
        <sz val="14"/>
        <rFont val="Arial"/>
        <family val="2"/>
      </rPr>
      <t xml:space="preserve"> For reporting individual responses for a person that is not included in any of the categories 
       listed above.</t>
    </r>
  </si>
  <si>
    <t>3C. Summary of Reported Household Demographics</t>
  </si>
  <si>
    <t xml:space="preserve">No data entry required. Output based on information reported from Worksheets 3A and 3B. </t>
  </si>
  <si>
    <t>For each service that is provided based on your answers to questions 51-61 on Worksheet 1A, you must supply additional info about each service provider on Worksheet 6. Services Funding.</t>
  </si>
  <si>
    <t>http://sfmohcd.org/documents-reports-and-forms</t>
  </si>
  <si>
    <t>http://sfmohcd.org/sites/default/files/Documents/CURRENTResidualRecPolicy%202016.pdf</t>
  </si>
  <si>
    <t>http://sfmohcd.org/sites/default/files/Documents/CURRENT%20OperatingFeesPolicy%202016.pdf</t>
  </si>
  <si>
    <t>7. Supplementary Audit Information - Required by MOHCD</t>
  </si>
  <si>
    <t>Ethnicity
(select from drop down menu)</t>
  </si>
  <si>
    <t>Race
(select from drop down menu)</t>
  </si>
  <si>
    <r>
      <t xml:space="preserve">Is the project any of the following: Transitional Housing, Residential Treatment Program, Shelter or Transitional Group Home? (select "yes" or "no" from the drop-down menu to the left.) </t>
    </r>
    <r>
      <rPr>
        <b/>
        <i/>
        <sz val="14"/>
        <color rgb="FFFF0000"/>
        <rFont val="Arial"/>
        <family val="2"/>
      </rPr>
      <t>If you answer "yes", skip questions 26 through 39 below, and continue with question 40. Also, you must complete worksheet "1B.TransitionalProg."</t>
    </r>
  </si>
  <si>
    <t>Other Required Reserve Account Withdrawals (For deposit to Operating account. Enter as positive number. Identify account in next col  ----&gt;</t>
  </si>
  <si>
    <t xml:space="preserve">Operating Reserve Account Withdrawals (For deposits to Operating Account.) Enter as positive number. </t>
  </si>
  <si>
    <r>
      <t xml:space="preserve">Capital Repairs and Improvements: </t>
    </r>
    <r>
      <rPr>
        <sz val="10"/>
        <rFont val="Arial"/>
        <family val="2"/>
      </rPr>
      <t xml:space="preserve">Enter capital repairs and improvement costs associated with the reporting year. For each category in rows 200-205 above that shows a positive change, an entry is requred in each corresponding cateogry in rows 210-215. If the operating account is used initially to fund the repair, and is later reimbursed by the replacement reserve during the reporting year, show the repair cost under "Replacement Reserve". If the operating acount is used to fund the repair and was not reimbursed by the replacement reserve during the reporting year, show the repair cost under "Operating Account."  Use the section below to supply a description of the capital repairs and improvements made. </t>
    </r>
  </si>
  <si>
    <t>Physical</t>
  </si>
  <si>
    <t>Visual</t>
  </si>
  <si>
    <t>Hearing</t>
  </si>
  <si>
    <t>Households with Tenant with Physical Disability</t>
  </si>
  <si>
    <t>Households with Tenant with Visual Disability</t>
  </si>
  <si>
    <t>Households with Tenant with Hearing Disability</t>
  </si>
  <si>
    <t>Proj_Address</t>
  </si>
  <si>
    <t>Proj_Street</t>
  </si>
  <si>
    <t>Guerrero</t>
  </si>
  <si>
    <t>Turk</t>
  </si>
  <si>
    <t>Natoma</t>
  </si>
  <si>
    <t>Julian</t>
  </si>
  <si>
    <t>Berkeley</t>
  </si>
  <si>
    <t>Hayes</t>
  </si>
  <si>
    <t>1881-1899</t>
  </si>
  <si>
    <t>Bush</t>
  </si>
  <si>
    <t>Hyde</t>
  </si>
  <si>
    <t>Eddy</t>
  </si>
  <si>
    <t>Confidential</t>
  </si>
  <si>
    <t>Geary</t>
  </si>
  <si>
    <t>Bryant</t>
  </si>
  <si>
    <t>Baker</t>
  </si>
  <si>
    <t>Collins</t>
  </si>
  <si>
    <t>Pine</t>
  </si>
  <si>
    <t>Tennessee</t>
  </si>
  <si>
    <t>Portola</t>
  </si>
  <si>
    <t>Dolores</t>
  </si>
  <si>
    <t>Page</t>
  </si>
  <si>
    <t>Scott</t>
  </si>
  <si>
    <t>Oak</t>
  </si>
  <si>
    <t>Sturgeon</t>
  </si>
  <si>
    <t>Howard</t>
  </si>
  <si>
    <t>Market</t>
  </si>
  <si>
    <t>Ellis</t>
  </si>
  <si>
    <t>O'Farrell</t>
  </si>
  <si>
    <t>Flounder</t>
  </si>
  <si>
    <t>Avenue of the Palms</t>
  </si>
  <si>
    <t>Jones</t>
  </si>
  <si>
    <t>3327-3331</t>
  </si>
  <si>
    <t>26th</t>
  </si>
  <si>
    <t>9th</t>
  </si>
  <si>
    <t>38-42</t>
  </si>
  <si>
    <t>Washburn</t>
  </si>
  <si>
    <t>McAllister</t>
  </si>
  <si>
    <t>Woodward</t>
  </si>
  <si>
    <t>Haight</t>
  </si>
  <si>
    <t>Chinook</t>
  </si>
  <si>
    <t>Quesada</t>
  </si>
  <si>
    <t>Kirkwood</t>
  </si>
  <si>
    <t>Capp</t>
  </si>
  <si>
    <t>Hoff</t>
  </si>
  <si>
    <t>Valencia</t>
  </si>
  <si>
    <t>Webster</t>
  </si>
  <si>
    <t>La Playa</t>
  </si>
  <si>
    <t>Mason</t>
  </si>
  <si>
    <t>Grove</t>
  </si>
  <si>
    <t>Girard</t>
  </si>
  <si>
    <t>27/42</t>
  </si>
  <si>
    <t>De Montfort</t>
  </si>
  <si>
    <t>Halibut</t>
  </si>
  <si>
    <t>1441 &amp; 1443</t>
  </si>
  <si>
    <t>Tehama</t>
  </si>
  <si>
    <r>
      <t xml:space="preserve">Income and Expenses
</t>
    </r>
    <r>
      <rPr>
        <sz val="14"/>
        <rFont val="CG Omega (W1)"/>
      </rPr>
      <t xml:space="preserve">The purpose of the Income and Expenses  form is to track actual income and expenses over the reporting period. In addition to the instructions below, please follow instructions provided on the worksheet. </t>
    </r>
  </si>
  <si>
    <t>http://sfmohcd.org/sites/default/files/FileCenter/Documents/5141-MOH_ProgIncomeOverview.pdf</t>
  </si>
  <si>
    <t>http://sfmohcd.org/sites/default/files/FileCenter/Documents/5140-INSURANCE%20EXHIBIT%20K_2014-05-21.pdf</t>
  </si>
  <si>
    <t>MOHCD Forms Page at SFMOHCD.ORG</t>
  </si>
  <si>
    <r>
      <t xml:space="preserve">Total number of households evicted </t>
    </r>
    <r>
      <rPr>
        <i/>
        <sz val="11"/>
        <rFont val="Arial"/>
        <family val="2"/>
      </rPr>
      <t>(total also used to answer question #35 on Worksheet 1A)</t>
    </r>
  </si>
  <si>
    <t xml:space="preserve">IMPORTANT NOTE RE: TREATMENT OF CAPITAL AND NON-CAPITAL MAINTENANCE REPAIR EXPENSES ELIGIBLE FOR PAYMENT BY REPLACEMENT RESERVE: If possible, exclude those from this section. If you do include those expenses here, be sure to record the amounts in rows 103 (non-capital) and 210:215 below (capital). </t>
  </si>
  <si>
    <r>
      <t xml:space="preserve">Proposed Owner Distributions </t>
    </r>
    <r>
      <rPr>
        <sz val="10"/>
        <rFont val="Arial"/>
        <family val="2"/>
      </rPr>
      <t>(provide description in column D and enter amount in column J. If an amount is entered, a description is required.)</t>
    </r>
  </si>
  <si>
    <r>
      <t xml:space="preserve">Proposed Other Distributions/Uses </t>
    </r>
    <r>
      <rPr>
        <sz val="10"/>
        <rFont val="Arial"/>
        <family val="2"/>
      </rPr>
      <t>(provide description in column D and enter amount in column J. If an amount is entered, a description is required. If you had a Calendar Year LOSP surplus, please acknowledge that and note exact amount.)</t>
    </r>
  </si>
  <si>
    <t>a. when the marketing was conducted and how it was intended to reach populations least likely 
    to apply for the project;</t>
  </si>
  <si>
    <t>c. how many households were on the waiting list prior to the marketing and how many were on it 
    after the marketing was completed.</t>
  </si>
  <si>
    <t>b. A description of the work done to identify means of reducing the turnaround time, and
    all viable remedies that have been identified; and</t>
  </si>
  <si>
    <t>If the project had an average VACANT UNIT RENT-UP TIME greater than 30 days for question 36 on the worksheet "1A.Prop&amp;Residents," you must supply the following:</t>
  </si>
  <si>
    <t>If the project had a VACANCY RATE greater than 15%, as may be shown above from the Income Expense section of the worksheet "2.Fiscal," you must supply the following:</t>
  </si>
  <si>
    <t>Completion of this page is required based on your answers to questions 51 thru 61 on worksheet 1A.Prop&amp;Residents. Supply one row of data for each service that is being provided. (If more than one service is being provided by the same Provider under the same grant, please repeat the data for each service provided.)</t>
  </si>
  <si>
    <t>22 thru 41</t>
  </si>
  <si>
    <t>42 thru 61</t>
  </si>
  <si>
    <t>Surplus Cash/Residual Receipts (Rows 140 - 171)</t>
  </si>
  <si>
    <t>Operating Reserve (Rows 177 - 186)</t>
  </si>
  <si>
    <t>Replacement Reserve (Rows 188 - 196)</t>
  </si>
  <si>
    <t>Changes to Real Estate Assets (Rows 198 - 205)</t>
  </si>
  <si>
    <t>Replacement Reserve Eligible Expenditures (Rows 209 - 228)</t>
  </si>
  <si>
    <t>Program Income (Rows 230 - 243)</t>
  </si>
  <si>
    <t>Not Reported</t>
  </si>
  <si>
    <t xml:space="preserve">Is Ethnicity and Race selected for each household? </t>
  </si>
  <si>
    <t>For Race/Ethnicity Summary in 3C</t>
  </si>
  <si>
    <t>these cols pull data from ws 3b for importing</t>
  </si>
  <si>
    <t>Mental/Developmental</t>
  </si>
  <si>
    <t>More than one</t>
  </si>
  <si>
    <r>
      <t xml:space="preserve">Number of households who lived in the project </t>
    </r>
    <r>
      <rPr>
        <b/>
        <sz val="11"/>
        <rFont val="Arial"/>
        <family val="2"/>
      </rPr>
      <t>AT ANY TIME</t>
    </r>
    <r>
      <rPr>
        <sz val="11"/>
        <rFont val="Arial"/>
        <family val="2"/>
      </rPr>
      <t xml:space="preserve"> during the reporting period. Be sure to include all households that moved in during the reporting period.</t>
    </r>
  </si>
  <si>
    <t>Disability
(select one)</t>
  </si>
  <si>
    <t>Popltn_HomelessHsg_Target</t>
  </si>
  <si>
    <t>Popltn_HomelessHsg_Actual</t>
  </si>
  <si>
    <t>New for 2016:</t>
  </si>
  <si>
    <t>sort by proj name to make drop-down list alphabetic</t>
  </si>
  <si>
    <t>Proj_Units</t>
  </si>
  <si>
    <t>Proj_AffordableUnits</t>
  </si>
  <si>
    <t>Mercy Family Plaza</t>
  </si>
  <si>
    <t>Market Heights</t>
  </si>
  <si>
    <t>Tompkins</t>
  </si>
  <si>
    <t>Juan Pifarre Plaza</t>
  </si>
  <si>
    <t>21st</t>
  </si>
  <si>
    <t>Parkview Hotel</t>
  </si>
  <si>
    <t>South Park</t>
  </si>
  <si>
    <t>Dorothy Day Community</t>
  </si>
  <si>
    <t>Minna Park Family Housing</t>
  </si>
  <si>
    <t>529-539</t>
  </si>
  <si>
    <t>Minna</t>
  </si>
  <si>
    <t>Precita House</t>
  </si>
  <si>
    <t>Precita</t>
  </si>
  <si>
    <t>Broadway Family Apartments</t>
  </si>
  <si>
    <t>Broadway</t>
  </si>
  <si>
    <t>Rich Sorro Commons</t>
  </si>
  <si>
    <t>Berry</t>
  </si>
  <si>
    <t>Connecticut St Court</t>
  </si>
  <si>
    <t>1206-1228</t>
  </si>
  <si>
    <t>Connecticut</t>
  </si>
  <si>
    <t>Consorcia Apartments</t>
  </si>
  <si>
    <t>Fannie Lou Hamer House</t>
  </si>
  <si>
    <t>Cortland</t>
  </si>
  <si>
    <t>Larkin Pine Senior Housing</t>
  </si>
  <si>
    <t>Larkin</t>
  </si>
  <si>
    <t>Peter Claver Community</t>
  </si>
  <si>
    <t>1370 California Apartments</t>
  </si>
  <si>
    <t>California</t>
  </si>
  <si>
    <t>Britton Courts</t>
  </si>
  <si>
    <t>Sunnydale</t>
  </si>
  <si>
    <t>Tower Hotel</t>
  </si>
  <si>
    <t>Grant</t>
  </si>
  <si>
    <t>William Penn Hotel</t>
  </si>
  <si>
    <t>Howard Street Apartments</t>
  </si>
  <si>
    <t>Garden Court Apartments</t>
  </si>
  <si>
    <t>15th</t>
  </si>
  <si>
    <t>Goodman 2 Art Complex</t>
  </si>
  <si>
    <t>18th</t>
  </si>
  <si>
    <t>1738 Mission</t>
  </si>
  <si>
    <t>Mission</t>
  </si>
  <si>
    <t>Coleridge Park Homes</t>
  </si>
  <si>
    <t>Coleridge</t>
  </si>
  <si>
    <t>Woolsey Apartments</t>
  </si>
  <si>
    <t>Woolsey</t>
  </si>
  <si>
    <t>Tenderloin Family Housing</t>
  </si>
  <si>
    <t>205 Jones</t>
  </si>
  <si>
    <t>Leandro Soto Apartments</t>
  </si>
  <si>
    <t>Ritz Hotel</t>
  </si>
  <si>
    <t>Franciscan Towers</t>
  </si>
  <si>
    <t>Madrid Hotel</t>
  </si>
  <si>
    <t>Pierce Street Apartments</t>
  </si>
  <si>
    <t>Pierce</t>
  </si>
  <si>
    <t>2300 Van Ness</t>
  </si>
  <si>
    <t>Van Ness</t>
  </si>
  <si>
    <t>SafeHouse</t>
  </si>
  <si>
    <t>Woolf House III</t>
  </si>
  <si>
    <t>4th</t>
  </si>
  <si>
    <t>Plaza Ramona Apartments</t>
  </si>
  <si>
    <t>2782 24th</t>
  </si>
  <si>
    <t>24th</t>
  </si>
  <si>
    <t>2945 16th</t>
  </si>
  <si>
    <t>16th</t>
  </si>
  <si>
    <t>Heritage Homes</t>
  </si>
  <si>
    <t>Rey</t>
  </si>
  <si>
    <t>23rd</t>
  </si>
  <si>
    <t>Altamont Hotel</t>
  </si>
  <si>
    <t>Bernal Gateway</t>
  </si>
  <si>
    <t>Del Carlo Court</t>
  </si>
  <si>
    <t>Cesar Chavez</t>
  </si>
  <si>
    <t>Dalt Hotel</t>
  </si>
  <si>
    <t>The Nathan Building</t>
  </si>
  <si>
    <t>3434 18th</t>
  </si>
  <si>
    <t>Notre Dame Plaza</t>
  </si>
  <si>
    <t>Moultrie House</t>
  </si>
  <si>
    <t>Moultrie</t>
  </si>
  <si>
    <t>Hamlin Hotel</t>
  </si>
  <si>
    <t>Aarti Hotel</t>
  </si>
  <si>
    <t>Leavenworth</t>
  </si>
  <si>
    <t>Carmelita Apartments</t>
  </si>
  <si>
    <t>Haight Street Apartments</t>
  </si>
  <si>
    <t>Apollo Hotel</t>
  </si>
  <si>
    <t>Sierra Madre</t>
  </si>
  <si>
    <t>Civic Center Residence</t>
  </si>
  <si>
    <t>Lassen Apartments</t>
  </si>
  <si>
    <t>450 Ellis St</t>
  </si>
  <si>
    <t>Klimm Apartments</t>
  </si>
  <si>
    <t>Cambridge Hotel</t>
  </si>
  <si>
    <t>Yosemite Apartments</t>
  </si>
  <si>
    <t>Arlington Hotel</t>
  </si>
  <si>
    <t>Plaza del Sol</t>
  </si>
  <si>
    <t>Cameo Apartments</t>
  </si>
  <si>
    <t>Maria Alicia Apartments</t>
  </si>
  <si>
    <t>Mariposa Gardens</t>
  </si>
  <si>
    <t>Mariposa</t>
  </si>
  <si>
    <t>518 Minna</t>
  </si>
  <si>
    <t>Swiss American Hotel</t>
  </si>
  <si>
    <t>555 Ellis Street Family Apartments</t>
  </si>
  <si>
    <t>575 Eddy</t>
  </si>
  <si>
    <t>St. Claire Residence</t>
  </si>
  <si>
    <t>Clayton Hotel</t>
  </si>
  <si>
    <t>Clay</t>
  </si>
  <si>
    <t>70 Moss</t>
  </si>
  <si>
    <t>Moss</t>
  </si>
  <si>
    <t>735 Ellis</t>
  </si>
  <si>
    <t>Bayside Elderly Housing</t>
  </si>
  <si>
    <t>Capp Street Apartments</t>
  </si>
  <si>
    <t>Junipero Serra House</t>
  </si>
  <si>
    <t>Fillmore</t>
  </si>
  <si>
    <t>Geraldine Johnson Manor</t>
  </si>
  <si>
    <t>3rd</t>
  </si>
  <si>
    <t>Cecil Williams Glide Community House</t>
  </si>
  <si>
    <t>Taylor</t>
  </si>
  <si>
    <t>John King Senior Community</t>
  </si>
  <si>
    <t>Raymond</t>
  </si>
  <si>
    <t>The Arc Apartments</t>
  </si>
  <si>
    <t>Bay</t>
  </si>
  <si>
    <t>Monterey Boulevard Apartments</t>
  </si>
  <si>
    <t>Monterey</t>
  </si>
  <si>
    <t>Crocker Amazon Senior Apartments</t>
  </si>
  <si>
    <t>Canon Barcus Community House</t>
  </si>
  <si>
    <t>Presentation Senior Community</t>
  </si>
  <si>
    <t>Monsignor Lyne Community</t>
  </si>
  <si>
    <t>Diamond</t>
  </si>
  <si>
    <t>Ellis Street Apartments</t>
  </si>
  <si>
    <t>Laurel Gardens Apartments</t>
  </si>
  <si>
    <t>479 Natoma</t>
  </si>
  <si>
    <t>Hotel Isabel</t>
  </si>
  <si>
    <t>1091-1099</t>
  </si>
  <si>
    <t>Gabreila Apartments</t>
  </si>
  <si>
    <t>583-587</t>
  </si>
  <si>
    <t>Columbia Park</t>
  </si>
  <si>
    <t>Folsom</t>
  </si>
  <si>
    <t>The Rose</t>
  </si>
  <si>
    <t>6th</t>
  </si>
  <si>
    <t>West Hotel</t>
  </si>
  <si>
    <t>Ambassador Hotel</t>
  </si>
  <si>
    <t>Alexander Residence</t>
  </si>
  <si>
    <t>Golden Gate Apartments</t>
  </si>
  <si>
    <t>Post</t>
  </si>
  <si>
    <t>Bayanihan House</t>
  </si>
  <si>
    <t>Bayview Commons</t>
  </si>
  <si>
    <t>Antonia Manor</t>
  </si>
  <si>
    <t>Positive Match</t>
  </si>
  <si>
    <t>confidential</t>
  </si>
  <si>
    <t>Fillmore Marketplace Apartments</t>
  </si>
  <si>
    <t>Hazel Betsey</t>
  </si>
  <si>
    <t>17th</t>
  </si>
  <si>
    <t>Good Samaritan Apartments</t>
  </si>
  <si>
    <t>1290-1294</t>
  </si>
  <si>
    <t>Potrero</t>
  </si>
  <si>
    <t>1101 Howard</t>
  </si>
  <si>
    <t>Fell Street Apartments</t>
  </si>
  <si>
    <t>Fell</t>
  </si>
  <si>
    <t>Knox Hotel</t>
  </si>
  <si>
    <t>1028 Howard</t>
  </si>
  <si>
    <t>111 Jones</t>
  </si>
  <si>
    <t>Padre Palou Community</t>
  </si>
  <si>
    <t>3400-3402</t>
  </si>
  <si>
    <t>Bryant Street Apartments</t>
  </si>
  <si>
    <t>Namiki Apartments</t>
  </si>
  <si>
    <t>Sutter</t>
  </si>
  <si>
    <t>SOMA Studios</t>
  </si>
  <si>
    <t>Marlton Manor</t>
  </si>
  <si>
    <t>240-288</t>
  </si>
  <si>
    <t>665 Clay</t>
  </si>
  <si>
    <t>Church Street Apartments</t>
  </si>
  <si>
    <t>Church</t>
  </si>
  <si>
    <t>Carter Terrace</t>
  </si>
  <si>
    <t>Carter</t>
  </si>
  <si>
    <t>O'Farrell Towers</t>
  </si>
  <si>
    <t>Notre Dame Apartments</t>
  </si>
  <si>
    <t>Maria Manor</t>
  </si>
  <si>
    <t>Providence Senior Housing</t>
  </si>
  <si>
    <t>421 Turk</t>
  </si>
  <si>
    <t>Padre Apartments</t>
  </si>
  <si>
    <t>Ocean Beach Apartments</t>
  </si>
  <si>
    <t>720-740</t>
  </si>
  <si>
    <t>Natoma Family Apartments</t>
  </si>
  <si>
    <t>10th &amp; Mission Family Housing</t>
  </si>
  <si>
    <t>Curran House</t>
  </si>
  <si>
    <t>The Dudley Apartments</t>
  </si>
  <si>
    <t>172-180</t>
  </si>
  <si>
    <t>Derek Silva Community</t>
  </si>
  <si>
    <t>Franklin</t>
  </si>
  <si>
    <t>Buena Vista Terrace</t>
  </si>
  <si>
    <t>International Hotel</t>
  </si>
  <si>
    <t>Kearny</t>
  </si>
  <si>
    <t>North Beach Place</t>
  </si>
  <si>
    <t>Leland Polk Senior Community</t>
  </si>
  <si>
    <t>Polk</t>
  </si>
  <si>
    <t>990 Polk</t>
  </si>
  <si>
    <t>Folsom + Dore Apartments</t>
  </si>
  <si>
    <t>Armstrong Place</t>
  </si>
  <si>
    <t>Mission Creek Senior Community</t>
  </si>
  <si>
    <t>The Coronet</t>
  </si>
  <si>
    <t>Valencia Gardens</t>
  </si>
  <si>
    <t>340-370</t>
  </si>
  <si>
    <t>Mosaica Family Apartments</t>
  </si>
  <si>
    <t>Florida</t>
  </si>
  <si>
    <t>Plaza Apartments</t>
  </si>
  <si>
    <t>988-992</t>
  </si>
  <si>
    <t>Westbrook Plaza</t>
  </si>
  <si>
    <t>227-255</t>
  </si>
  <si>
    <t>7th</t>
  </si>
  <si>
    <t>Edith Witt Senior Community</t>
  </si>
  <si>
    <t>701-725</t>
  </si>
  <si>
    <t>Hotel Essex</t>
  </si>
  <si>
    <t>Arnett Watson Apartments</t>
  </si>
  <si>
    <t>Bishop Swing Community House</t>
  </si>
  <si>
    <t>10th</t>
  </si>
  <si>
    <t>Mosaica Senior Apartments</t>
  </si>
  <si>
    <t>Alabama</t>
  </si>
  <si>
    <t>149 Mason Street Apartments</t>
  </si>
  <si>
    <t>Hunters View (Phase 1)</t>
  </si>
  <si>
    <t>Middle Point</t>
  </si>
  <si>
    <t>Zygmunt Arendt House</t>
  </si>
  <si>
    <t>Broderick</t>
  </si>
  <si>
    <t>Columbus United Cooperative</t>
  </si>
  <si>
    <t>Columbus</t>
  </si>
  <si>
    <t>Kelly Cullen Community</t>
  </si>
  <si>
    <t>St. Peter's Place</t>
  </si>
  <si>
    <t>29th</t>
  </si>
  <si>
    <t>Broadway Sansome Family Housing</t>
  </si>
  <si>
    <t>235 -295</t>
  </si>
  <si>
    <t>Veterans Commons</t>
  </si>
  <si>
    <t>Otis</t>
  </si>
  <si>
    <t>Excelsior Teen Center</t>
  </si>
  <si>
    <t>4466-4468</t>
  </si>
  <si>
    <t>Vera Haile Senior Housing</t>
  </si>
  <si>
    <t>Edward II</t>
  </si>
  <si>
    <t>3151-3155</t>
  </si>
  <si>
    <t>Madonna Residence</t>
  </si>
  <si>
    <t>1100 Ocean</t>
  </si>
  <si>
    <t>Ocean</t>
  </si>
  <si>
    <t>Richardson Apartments (Parcel G)</t>
  </si>
  <si>
    <t>Fulton</t>
  </si>
  <si>
    <t>Carroll</t>
  </si>
  <si>
    <t>1180 Fourth Street</t>
  </si>
  <si>
    <t>Bayview Hill Gardens</t>
  </si>
  <si>
    <t>Le Conte</t>
  </si>
  <si>
    <t>Crescent Cove</t>
  </si>
  <si>
    <t>Turk &amp; Eddy Apartments</t>
  </si>
  <si>
    <t>Essex</t>
  </si>
  <si>
    <t>280 Beale</t>
  </si>
  <si>
    <t>Beale</t>
  </si>
  <si>
    <t>Octavia Court</t>
  </si>
  <si>
    <t>Octavia</t>
  </si>
  <si>
    <t>227 Bay Street</t>
  </si>
  <si>
    <t>Masonic</t>
  </si>
  <si>
    <t>Palou</t>
  </si>
  <si>
    <t>534-536 Natoma St</t>
  </si>
  <si>
    <t>534-536</t>
  </si>
  <si>
    <t>Robert B. Pitts (RAD)</t>
  </si>
  <si>
    <t>990 Pacific Avenue</t>
  </si>
  <si>
    <t>Pacific</t>
  </si>
  <si>
    <t>345 Arguello - California Corridor</t>
  </si>
  <si>
    <t>Arguello</t>
  </si>
  <si>
    <t>491 31st Avenue - California Corridor</t>
  </si>
  <si>
    <t>31st</t>
  </si>
  <si>
    <t>939 And 951 Eddy Street - RAD Cluster 3</t>
  </si>
  <si>
    <t>666 Ellis Street - RAD Cluster 4</t>
  </si>
  <si>
    <t>Appleton</t>
  </si>
  <si>
    <t>151 Duboce</t>
  </si>
  <si>
    <t>149-151</t>
  </si>
  <si>
    <t>Duboce</t>
  </si>
  <si>
    <t>255 Woodside Avenue- RAD Cluster 6</t>
  </si>
  <si>
    <t>Woodside</t>
  </si>
  <si>
    <t>430 Turk Street - RAD Cluster 4</t>
  </si>
  <si>
    <t>462 Duboce- RAD Cluster 6</t>
  </si>
  <si>
    <t>25 Sanchez- RAD Cluster 6</t>
  </si>
  <si>
    <t>Sanchez</t>
  </si>
  <si>
    <t>Pigeon Palace</t>
  </si>
  <si>
    <t>2840-2848</t>
  </si>
  <si>
    <t>1684-1688 Grove Street</t>
  </si>
  <si>
    <t>380 San Jose Avenue</t>
  </si>
  <si>
    <t>San Jose</t>
  </si>
  <si>
    <t>642-646 Guerrero Street</t>
  </si>
  <si>
    <t>642-646</t>
  </si>
  <si>
    <t>Belcher</t>
  </si>
  <si>
    <t>568-570 Natoma Street</t>
  </si>
  <si>
    <t>1500 Cortland</t>
  </si>
  <si>
    <t>462 Green Street</t>
  </si>
  <si>
    <t>Green</t>
  </si>
  <si>
    <t>3840 Folsom Street</t>
  </si>
  <si>
    <t>Proj_StreetSuffix</t>
  </si>
  <si>
    <t>FullAddr</t>
  </si>
  <si>
    <t>Avenue</t>
  </si>
  <si>
    <t>100 Appleton Avenue</t>
  </si>
  <si>
    <t>St</t>
  </si>
  <si>
    <t>1028 Howard St</t>
  </si>
  <si>
    <t>1068 Palou Avenue</t>
  </si>
  <si>
    <t>1390 Mission St</t>
  </si>
  <si>
    <t>Ave</t>
  </si>
  <si>
    <t>1100 Ocean Ave</t>
  </si>
  <si>
    <t>1101 Howard St</t>
  </si>
  <si>
    <t>111 Jones St</t>
  </si>
  <si>
    <t>1180 4th St</t>
  </si>
  <si>
    <t>Dr</t>
  </si>
  <si>
    <t>1340 Portola Dr</t>
  </si>
  <si>
    <t>1353 Folsom St</t>
  </si>
  <si>
    <t>1370 California St</t>
  </si>
  <si>
    <t>149 Mason St</t>
  </si>
  <si>
    <t>1500 Cortland Ave</t>
  </si>
  <si>
    <t>149-151 Duboce Ave</t>
  </si>
  <si>
    <t>1684 Grove St</t>
  </si>
  <si>
    <t>1738 Mission St</t>
  </si>
  <si>
    <t>1761 Page St</t>
  </si>
  <si>
    <t>Street</t>
  </si>
  <si>
    <t>205 Jones St</t>
  </si>
  <si>
    <t>214 Dolores St</t>
  </si>
  <si>
    <t>2300 Van Ness Ave</t>
  </si>
  <si>
    <t>255 Woodside Avenue</t>
  </si>
  <si>
    <t>3327-3331 26th St</t>
  </si>
  <si>
    <t>2782 24th St</t>
  </si>
  <si>
    <t>280 Beale St</t>
  </si>
  <si>
    <t>2945 16th St</t>
  </si>
  <si>
    <t>3019 23rd St</t>
  </si>
  <si>
    <t>308 Turk St</t>
  </si>
  <si>
    <t>3434 18th St</t>
  </si>
  <si>
    <t>345 Arguello Avenue</t>
  </si>
  <si>
    <t>375 Eddy St</t>
  </si>
  <si>
    <t>380 San Jose Ave</t>
  </si>
  <si>
    <t>3840 Folsom St</t>
  </si>
  <si>
    <t>421 Turk St</t>
  </si>
  <si>
    <t>462 Duboce Avenue</t>
  </si>
  <si>
    <t>462 Green St</t>
  </si>
  <si>
    <t>479 Natoma St</t>
  </si>
  <si>
    <t>491 31st Avenue</t>
  </si>
  <si>
    <t>518 Minna St</t>
  </si>
  <si>
    <t>525 O'Farrell St</t>
  </si>
  <si>
    <t>555 Ellis St</t>
  </si>
  <si>
    <t>575 Eddy St</t>
  </si>
  <si>
    <t>642-646 Guerrero St</t>
  </si>
  <si>
    <t>665 Clay St</t>
  </si>
  <si>
    <t>70 Moss St</t>
  </si>
  <si>
    <t>70 Belcher St</t>
  </si>
  <si>
    <t>735 Ellis St</t>
  </si>
  <si>
    <t>990 Polk St</t>
  </si>
  <si>
    <t>0 confidential St</t>
  </si>
  <si>
    <t>391 Leavenworth St</t>
  </si>
  <si>
    <t>1045 Capp St</t>
  </si>
  <si>
    <t>670 Valencia St</t>
  </si>
  <si>
    <t>230 Eddy St</t>
  </si>
  <si>
    <t>3048 16th St</t>
  </si>
  <si>
    <t>55 Mason St</t>
  </si>
  <si>
    <t>180 Turk St</t>
  </si>
  <si>
    <t>420 Valencia St</t>
  </si>
  <si>
    <t>472 Ellis St</t>
  </si>
  <si>
    <t>5600 3rd St</t>
  </si>
  <si>
    <t>650 Eddy St</t>
  </si>
  <si>
    <t>654 Grove St</t>
  </si>
  <si>
    <t>733 Baker St</t>
  </si>
  <si>
    <t>88 6th St</t>
  </si>
  <si>
    <t>4445 3rd St</t>
  </si>
  <si>
    <t>1075 Le Conte Ave</t>
  </si>
  <si>
    <t>3101 Mission St</t>
  </si>
  <si>
    <t>275 10th St</t>
  </si>
  <si>
    <t>1250 Sunnydale Ave</t>
  </si>
  <si>
    <t>235 -295 Broadway St</t>
  </si>
  <si>
    <t>2800 Bryant St</t>
  </si>
  <si>
    <t>1250 Haight St</t>
  </si>
  <si>
    <t>380 Eddy St</t>
  </si>
  <si>
    <t>473 Ellis St</t>
  </si>
  <si>
    <t>481 Eddy St</t>
  </si>
  <si>
    <t>424 Guerrero St</t>
  </si>
  <si>
    <t>670 Natoma St</t>
  </si>
  <si>
    <t>705 Natoma St</t>
  </si>
  <si>
    <t>890 Capp St</t>
  </si>
  <si>
    <t>391 Valencia St</t>
  </si>
  <si>
    <t>1751 Carroll Avenue</t>
  </si>
  <si>
    <t>530 Carter St</t>
  </si>
  <si>
    <t>1724 Bryant St</t>
  </si>
  <si>
    <t>35 Woodward St</t>
  </si>
  <si>
    <t>333 Taylor St</t>
  </si>
  <si>
    <t>1 Church St</t>
  </si>
  <si>
    <t>44 McAllister St</t>
  </si>
  <si>
    <t>657 Clay St</t>
  </si>
  <si>
    <t>190 Coleridge St</t>
  </si>
  <si>
    <t>1035 Folsom St</t>
  </si>
  <si>
    <t>53 Columbus Ave</t>
  </si>
  <si>
    <t>1206-1228 Connecticut St</t>
  </si>
  <si>
    <t>1204 Mason St</t>
  </si>
  <si>
    <t>420 Berry St</t>
  </si>
  <si>
    <t>5199 Mission St</t>
  </si>
  <si>
    <t>145 Taylor St</t>
  </si>
  <si>
    <t>315 Turk St</t>
  </si>
  <si>
    <t>34 Turk St</t>
  </si>
  <si>
    <t>3330 Cesar Chavez St</t>
  </si>
  <si>
    <t>20 Franklin St</t>
  </si>
  <si>
    <t>54 McAllister St</t>
  </si>
  <si>
    <t>36 Hoff St</t>
  </si>
  <si>
    <t>1096 Eddy St</t>
  </si>
  <si>
    <t>425 Eddy St</t>
  </si>
  <si>
    <t>66 9th St</t>
  </si>
  <si>
    <t>3151-3155 Scott St</t>
  </si>
  <si>
    <t>150 9th St</t>
  </si>
  <si>
    <t>864 Ellis St</t>
  </si>
  <si>
    <t>328 Tehama St</t>
  </si>
  <si>
    <t>4466-4468 Mission St</t>
  </si>
  <si>
    <t>1221 Cortland Ave</t>
  </si>
  <si>
    <t>333 Fell St</t>
  </si>
  <si>
    <t>1249 Scott St</t>
  </si>
  <si>
    <t>1223 Webster St</t>
  </si>
  <si>
    <t>1346 Folsom St</t>
  </si>
  <si>
    <t>217 Eddy St</t>
  </si>
  <si>
    <t>56 Julian Ave</t>
  </si>
  <si>
    <t>583-587 Natoma St</t>
  </si>
  <si>
    <t>1637 15th St</t>
  </si>
  <si>
    <t>5545 3rd St</t>
  </si>
  <si>
    <t>Way</t>
  </si>
  <si>
    <t>9 Berkeley Way</t>
  </si>
  <si>
    <t>1820 Post St</t>
  </si>
  <si>
    <t>1290-1294 Potrero Ave</t>
  </si>
  <si>
    <t>1695 18th St</t>
  </si>
  <si>
    <t>398 Haight St</t>
  </si>
  <si>
    <t>1631 Hayes St</t>
  </si>
  <si>
    <t>385 Eddy St</t>
  </si>
  <si>
    <t>3554 17th St</t>
  </si>
  <si>
    <t>243 Rey St</t>
  </si>
  <si>
    <t>684 Ellis St</t>
  </si>
  <si>
    <t>1091-1099 Mission St</t>
  </si>
  <si>
    <t>1601 Howard St</t>
  </si>
  <si>
    <t>Rd</t>
  </si>
  <si>
    <t>112 Middle Point Rd</t>
  </si>
  <si>
    <t>848 Kearny St</t>
  </si>
  <si>
    <t>835 O'Farrell St</t>
  </si>
  <si>
    <t>1638 Kirkwood Ave</t>
  </si>
  <si>
    <t>1601 Quesada Ave</t>
  </si>
  <si>
    <t>500 Raymond Ave</t>
  </si>
  <si>
    <t>820 O'Farrell St</t>
  </si>
  <si>
    <t>3101 21st St</t>
  </si>
  <si>
    <t>926 Fillmore St</t>
  </si>
  <si>
    <t>220 Golden Gate  Ave</t>
  </si>
  <si>
    <t>460 Ellis St</t>
  </si>
  <si>
    <t>241 6th St</t>
  </si>
  <si>
    <t>1881-1899 Bush St</t>
  </si>
  <si>
    <t>770 La Playa St</t>
  </si>
  <si>
    <t>1483 Mason St</t>
  </si>
  <si>
    <t>1303 Larkin St</t>
  </si>
  <si>
    <t>129 Hyde St</t>
  </si>
  <si>
    <t>441 Ellis St</t>
  </si>
  <si>
    <t>1555 Turk St</t>
  </si>
  <si>
    <t>2155 Mission St</t>
  </si>
  <si>
    <t>980 Howard St</t>
  </si>
  <si>
    <t>1315 Polk St</t>
  </si>
  <si>
    <t>140 Jones St</t>
  </si>
  <si>
    <t>350 Golden Gate  Ave</t>
  </si>
  <si>
    <t>Park</t>
  </si>
  <si>
    <t>22 South Park Park</t>
  </si>
  <si>
    <t>2973 26th St</t>
  </si>
  <si>
    <t>3090 16th St</t>
  </si>
  <si>
    <t>174 Ellis St</t>
  </si>
  <si>
    <t>2445 Mariposa St</t>
  </si>
  <si>
    <t>1000 Tompkins Ave</t>
  </si>
  <si>
    <t>240-288 Jones St</t>
  </si>
  <si>
    <t>1680 Eddy St</t>
  </si>
  <si>
    <t>1040 Bush St</t>
  </si>
  <si>
    <t>701-725 Golden Gate  Ave</t>
  </si>
  <si>
    <t>1840 McAllister St</t>
  </si>
  <si>
    <t>1509 Hayes St</t>
  </si>
  <si>
    <t>240 Hyde St</t>
  </si>
  <si>
    <t>529-539 Minna St</t>
  </si>
  <si>
    <t>225 Berry St</t>
  </si>
  <si>
    <t>118 Diamond St</t>
  </si>
  <si>
    <t>Blvd</t>
  </si>
  <si>
    <t>403 Monterey Blvd</t>
  </si>
  <si>
    <t>680 Florida St</t>
  </si>
  <si>
    <t>655 Alabama St</t>
  </si>
  <si>
    <t>374 Moultrie St</t>
  </si>
  <si>
    <t>1776 Sutter St</t>
  </si>
  <si>
    <t>474 Natoma St</t>
  </si>
  <si>
    <t>455 Bay St</t>
  </si>
  <si>
    <t>347 Dolores St</t>
  </si>
  <si>
    <t>720-740 La Playa  St</t>
  </si>
  <si>
    <t>261 Octavia St</t>
  </si>
  <si>
    <t>484 Oak St</t>
  </si>
  <si>
    <t>477 O'Farrell St</t>
  </si>
  <si>
    <t>241 Jones St</t>
  </si>
  <si>
    <t>3400-3402 16th St</t>
  </si>
  <si>
    <t>102 South Park St</t>
  </si>
  <si>
    <t>1340 Golden Gate  Ave</t>
  </si>
  <si>
    <t>220 Pierce St</t>
  </si>
  <si>
    <t>2840-2848 Folsom St</t>
  </si>
  <si>
    <t>988-992 Howard St</t>
  </si>
  <si>
    <t>440 Valencia St</t>
  </si>
  <si>
    <t>1652 Eddy St</t>
  </si>
  <si>
    <t>416 Precita Ave</t>
  </si>
  <si>
    <t>301 Ellis St</t>
  </si>
  <si>
    <t>1272 South Van Ness  Ave</t>
  </si>
  <si>
    <t>4601 3rd St</t>
  </si>
  <si>
    <t>25 Essex St</t>
  </si>
  <si>
    <t>150 Berry St</t>
  </si>
  <si>
    <t>220 Dolores St</t>
  </si>
  <si>
    <t>365 Fulton St</t>
  </si>
  <si>
    <t>216 Eddy St</t>
  </si>
  <si>
    <t>2501 Pine St</t>
  </si>
  <si>
    <t>1000 Market St</t>
  </si>
  <si>
    <t>519 Ellis St</t>
  </si>
  <si>
    <t>421 Leavenworth St</t>
  </si>
  <si>
    <t>1166 Howard St</t>
  </si>
  <si>
    <t>1188 Howard St</t>
  </si>
  <si>
    <t>585 Geary St</t>
  </si>
  <si>
    <t>899 Guerrero St</t>
  </si>
  <si>
    <t>275 Collins St</t>
  </si>
  <si>
    <t>420 29th Ave</t>
  </si>
  <si>
    <t>27/42 De Montfort Ave</t>
  </si>
  <si>
    <t>201 Turk St</t>
  </si>
  <si>
    <t>712 Tennessee St</t>
  </si>
  <si>
    <t>416 Bay St</t>
  </si>
  <si>
    <t>3595 Geary Blvd</t>
  </si>
  <si>
    <t>172-180 6th St</t>
  </si>
  <si>
    <t>340 Eddy St</t>
  </si>
  <si>
    <t>125 6th St</t>
  </si>
  <si>
    <t>Ct</t>
  </si>
  <si>
    <t>1445 Chinook Ct</t>
  </si>
  <si>
    <t>1441 &amp; 1443 Chinook Ct</t>
  </si>
  <si>
    <t>1440 Chinook Ct</t>
  </si>
  <si>
    <t>1411 Flounder Ct</t>
  </si>
  <si>
    <t>1432 Halibut Ct</t>
  </si>
  <si>
    <t>1403 Sturgeon St</t>
  </si>
  <si>
    <t>1525 Grant Ave</t>
  </si>
  <si>
    <t>249 Eddy St</t>
  </si>
  <si>
    <t>340-370 Valencia St</t>
  </si>
  <si>
    <t>129 Golden Gate  Ave</t>
  </si>
  <si>
    <t>1030 Girard Rd</t>
  </si>
  <si>
    <t>150 Otis St</t>
  </si>
  <si>
    <t>214 Haight St</t>
  </si>
  <si>
    <t>38-42 Washburn St</t>
  </si>
  <si>
    <t>650 Webster St</t>
  </si>
  <si>
    <t>141 Eddy St</t>
  </si>
  <si>
    <t>227-255 7th St</t>
  </si>
  <si>
    <t>160 Eddy St</t>
  </si>
  <si>
    <t>2261 Bryant St</t>
  </si>
  <si>
    <t>240 4th St</t>
  </si>
  <si>
    <t>195 Woolsey St</t>
  </si>
  <si>
    <t>480 Eddy St</t>
  </si>
  <si>
    <t>850 Broderick St</t>
  </si>
  <si>
    <t>NumLOSPUnitsForAMR</t>
  </si>
  <si>
    <t>3329-3333 20th Street</t>
  </si>
  <si>
    <t>3329-3333</t>
  </si>
  <si>
    <t>Pacific Pointe</t>
  </si>
  <si>
    <t>Friedell</t>
  </si>
  <si>
    <t>250 McAllister St</t>
  </si>
  <si>
    <t>Households with Tenant with Mental/Devt Disability</t>
  </si>
  <si>
    <t>Households with Tenant with Other Disability</t>
  </si>
  <si>
    <t>Households with Tenant with More than One Disability</t>
  </si>
  <si>
    <t>CF_AssetMgtFeeExcess3k</t>
  </si>
  <si>
    <t>CF_PshipMgtFee</t>
  </si>
  <si>
    <t>RR_ProposedOwnerDistrib</t>
  </si>
  <si>
    <t>RR_ProposedResRctsPmt</t>
  </si>
  <si>
    <t>CF_GroundLeasePmt</t>
  </si>
  <si>
    <t>OpRsrvReplnsh_Res</t>
  </si>
  <si>
    <t>PshipMgtFeeAccru_Res</t>
  </si>
  <si>
    <t>LPAMFee_Res</t>
  </si>
  <si>
    <t>LPAMFeeAccru_Res</t>
  </si>
  <si>
    <t>CF_DfrrdDevFee</t>
  </si>
  <si>
    <t>UnfundedCapNeeds</t>
  </si>
  <si>
    <t>New as of 7/11/17</t>
  </si>
  <si>
    <t>CF_OtherPmts_Res</t>
  </si>
  <si>
    <t>WF_Lender1Prncpl_Res</t>
  </si>
  <si>
    <t>WF_Lender1Int_Res</t>
  </si>
  <si>
    <t>WF_Lender2Prncpl_Res</t>
  </si>
  <si>
    <t>WF_Lender2Int_Res</t>
  </si>
  <si>
    <t>CF_BondMonFee_Name</t>
  </si>
  <si>
    <t>CF_BondMonFee_Res</t>
  </si>
  <si>
    <t>CF_BondMonFee_Res_Cmmrcl</t>
  </si>
  <si>
    <t>2a. Net LOSP Revenue for this reporting period - MUST be amount shown on MOHCD LOSP disbursement form, will be pre-filled by MOHCD in cell P17.</t>
  </si>
  <si>
    <t>2b. If the project receives other source/s of Rental Assistance Payments, enter the total amount in cell R20, and the source/s in cell R21.</t>
  </si>
  <si>
    <t>2c. If the project has been pre-authorized to use an "alternative LOSP split" to allocate the Rental Assistance Payment, enter the LOSP percentage in cell P26.</t>
  </si>
  <si>
    <t>Gender</t>
  </si>
  <si>
    <t>Sex at Birth</t>
  </si>
  <si>
    <t>Sexual Orientation</t>
  </si>
  <si>
    <t>X.</t>
  </si>
  <si>
    <r>
      <rPr>
        <b/>
        <sz val="14"/>
        <rFont val="Arial"/>
        <family val="2"/>
      </rPr>
      <t>Household Rent Burden.</t>
    </r>
    <r>
      <rPr>
        <sz val="14"/>
        <rFont val="Arial"/>
        <family val="2"/>
      </rPr>
      <t xml:space="preserve"> THIS IS A SELF-CALCULATING CELL - ENTER NO DATA HERE. If the rent burden is 100% or greater, it is likely that the amount of tenant paid rent and/or the amount of HH income is incorrect, please review the data for accuracy. Typically, rent burdens should be 60% or less. If a unit has a rent subsidy, the typical requirement is for tenants to pay 30% of income toward rent.</t>
    </r>
  </si>
  <si>
    <t>Female</t>
  </si>
  <si>
    <t>Male</t>
  </si>
  <si>
    <t>Genderqueer/Gender Non-binary</t>
  </si>
  <si>
    <t>Trans Female</t>
  </si>
  <si>
    <t>Trans Male</t>
  </si>
  <si>
    <t xml:space="preserve">Not listed </t>
  </si>
  <si>
    <t xml:space="preserve">Declined/Not Stated </t>
  </si>
  <si>
    <t>Question Not Asked</t>
  </si>
  <si>
    <t>Decline to Answer</t>
  </si>
  <si>
    <t>Not Stated</t>
  </si>
  <si>
    <t>Bisexual</t>
  </si>
  <si>
    <t>Gay /Lesbian/Same-Gender Loving</t>
  </si>
  <si>
    <t>Questioning /Unsure</t>
  </si>
  <si>
    <t xml:space="preserve">Straight/Heterosexual </t>
  </si>
  <si>
    <t>Not listed</t>
  </si>
  <si>
    <r>
      <rPr>
        <b/>
        <sz val="14"/>
        <rFont val="Arial"/>
        <family val="2"/>
      </rPr>
      <t>Gender.</t>
    </r>
    <r>
      <rPr>
        <sz val="14"/>
        <rFont val="Arial"/>
        <family val="2"/>
      </rPr>
      <t xml:space="preserve">  Provide info for the Head of Household. The 8 possible answers for Gender are:
     • Female
     • Male
     • Genderqueer/Gender Non-binary
     • Trans Female
     • Trans Male
     • Not listed 
     • Declined/Not Stated 
     • Question Not Asked</t>
    </r>
  </si>
  <si>
    <r>
      <rPr>
        <b/>
        <sz val="14"/>
        <rFont val="Arial"/>
        <family val="2"/>
      </rPr>
      <t>Sexual Orientation / Sexual Identity.</t>
    </r>
    <r>
      <rPr>
        <sz val="14"/>
        <rFont val="Arial"/>
        <family val="2"/>
      </rPr>
      <t xml:space="preserve">  Provide info for the Head of Household. The 7 possible answers for Sexual Orientation / Sexual Identity are:
     • Bisexual
     • Gay /Lesbian/Same-Gender Loving
     • Questioning /Unsure
     • Straight/Heterosexual 
     • Not listed
     • Decline to Answer
     • Not Stated
</t>
    </r>
  </si>
  <si>
    <t>Sexual Orientation / Sexual Identity</t>
  </si>
  <si>
    <t>Completeness - Race &amp; Ethnicity</t>
  </si>
  <si>
    <t>X</t>
  </si>
  <si>
    <t>HH Rent Burden 
(tenant paid rent plus utility allowance x 12 / hh income): typically between 30-50%; should never exceed 100%.</t>
  </si>
  <si>
    <t>Ground Lease Base Rent/Bond Fees/Reserves</t>
  </si>
  <si>
    <t>Sub-total Ground Lease Base Rent/Bond Fees/Reserves</t>
  </si>
  <si>
    <t>TOTAL OPERATING EXPENSES (w/ Reserves/GL Base Rent/ Bond Fees)</t>
  </si>
  <si>
    <t>4.  Debt Service (Principal and Interest)</t>
  </si>
  <si>
    <t>Name of Lender / Describe Other Amt Paid</t>
  </si>
  <si>
    <t>Name of Lessor/ Bond Monitoring Agency/ Reserve Account</t>
  </si>
  <si>
    <r>
      <t xml:space="preserve">5. Operating Reserve Replenishments </t>
    </r>
    <r>
      <rPr>
        <sz val="10"/>
        <rFont val="Arial"/>
        <family val="2"/>
      </rPr>
      <t>(Deposits made out of surplus cash to satisfy minimum balance requirements).</t>
    </r>
  </si>
  <si>
    <r>
      <t xml:space="preserve">6.  "Below-the-line" Asset Mgt fee </t>
    </r>
    <r>
      <rPr>
        <sz val="10"/>
        <rFont val="Arial"/>
        <family val="2"/>
      </rPr>
      <t>(prior written authorization from City/SFRA may be required, see Asset Mgt. Fee Policy).</t>
    </r>
  </si>
  <si>
    <r>
      <t xml:space="preserve">7a. Partnership Management fee due from this reporting period. if any </t>
    </r>
    <r>
      <rPr>
        <sz val="10"/>
        <rFont val="Arial"/>
        <family val="2"/>
      </rPr>
      <t>(tax credit projects only; not allowed if project is beyond 15-year compliance period).</t>
    </r>
  </si>
  <si>
    <r>
      <t>7b. Partnership Management fee accrued but unpaid from PRIOR reporting periods, if any</t>
    </r>
    <r>
      <rPr>
        <sz val="10"/>
        <rFont val="Arial"/>
        <family val="2"/>
      </rPr>
      <t xml:space="preserve"> (tax credit projects only; per City policy, not allowed if project is beyond 15-year compliance period).</t>
    </r>
  </si>
  <si>
    <r>
      <t xml:space="preserve">8a. Investor Services Fee (aka LP Asset Management Fee) due from this reporting period. if any </t>
    </r>
    <r>
      <rPr>
        <sz val="10"/>
        <rFont val="Arial"/>
        <family val="2"/>
      </rPr>
      <t>(tax credit projects only; per City policy, not allowed if project is beyond 15-year compliance period).</t>
    </r>
  </si>
  <si>
    <r>
      <t>8b. Investor Services Fee (aka LP Asset Management Fee) accrued but unpaid from PRIOR reporting periods, if any</t>
    </r>
    <r>
      <rPr>
        <sz val="10"/>
        <rFont val="Arial"/>
        <family val="2"/>
      </rPr>
      <t xml:space="preserve"> (tax credit projects only; per City policy, not allowed if project is beyond 15-year compliance period).</t>
    </r>
  </si>
  <si>
    <t>9.  Deferred Developer fee, if any</t>
  </si>
  <si>
    <r>
      <t xml:space="preserve">10.  Other payments: </t>
    </r>
    <r>
      <rPr>
        <sz val="10"/>
        <rFont val="Arial"/>
        <family val="2"/>
      </rPr>
      <t>use question #1 on the Narrative (worksheet #4) to provide details about any fees or other payments, including ground lease residual rent payments for a non-MOHCD/OCII  ground lease. Failure to provide details will result in disallowance of this expense. You may only include payments that were approved by MOHCD at time of funding that are also explicitly authorized by a Partnership Agreement or similar project document.</t>
    </r>
  </si>
  <si>
    <r>
      <t xml:space="preserve">11ai. Debt Pmt to other lender1: Principal Paid </t>
    </r>
    <r>
      <rPr>
        <sz val="10"/>
        <rFont val="Arial"/>
        <family val="2"/>
      </rPr>
      <t>(note lender name to right)</t>
    </r>
  </si>
  <si>
    <t>11aii. Debt Pmt to other lender1: Interest Paid</t>
  </si>
  <si>
    <r>
      <t xml:space="preserve">11bi. Debt Pmt to other lender2: Principal Paid </t>
    </r>
    <r>
      <rPr>
        <sz val="10"/>
        <rFont val="Arial"/>
        <family val="2"/>
      </rPr>
      <t>(note lender name to right)</t>
    </r>
  </si>
  <si>
    <t>11bii. Debt Pmt to other lender2: Interest Paid</t>
  </si>
  <si>
    <t xml:space="preserve">12. RESIDUAL RECEIPTS </t>
  </si>
  <si>
    <t>12a. MOHCD Residual Receipts Due for Loan Repayment</t>
  </si>
  <si>
    <t>12b. MOHCD Residual Receipts Due for Ground Lease Residual Rent Payment</t>
  </si>
  <si>
    <t>12c. Subtotal Residual Receipts Payments to MOHCD</t>
  </si>
  <si>
    <t>12d. Residual Receipts Debt Pmt to other lender3 (note lender name to right)</t>
  </si>
  <si>
    <t>12e. Residual Receipts Debt Pmt to other lender4 (note lender name to right)</t>
  </si>
  <si>
    <t>12f. Residual Receipts Debt Pmt to other lender5 (note lender name to right)</t>
  </si>
  <si>
    <t>If L169 is &gt;0, enter that number in J172 &amp; L172 below. The amount will be treated as the LOSP CY surplus.</t>
  </si>
  <si>
    <t>If N169 is &gt;0, you may enter that amount in J171 &amp; N171 above if your LOSP budget allows an owner distribution.</t>
  </si>
  <si>
    <t>NOI-2</t>
  </si>
  <si>
    <t>NOI-2_cmmercl</t>
  </si>
  <si>
    <t>NOI-2_TOTAL</t>
  </si>
  <si>
    <t xml:space="preserve">Use this space to record notes about any peculiarities in the data entry process. For example, if you entered a formula instead of a single number for a field, make a note here re: for which question on which worksheet that was done, and describe the formula &amp; underlying numbers. Also use this field to describe in detail any amounts entered for "Other payments" on the worksheet "2.Fiscal," item 10. 
</t>
  </si>
  <si>
    <t xml:space="preserve">Report Year </t>
  </si>
  <si>
    <t>RR_PropsedOtherDistrib</t>
  </si>
  <si>
    <t>INCM_ParkingSpaces_LOSP</t>
  </si>
  <si>
    <t>INCM_MiscRentIncome_LOSP</t>
  </si>
  <si>
    <t>INCM_IntIncome_ProjOps_LOSP</t>
  </si>
  <si>
    <t>INCM_LaundryVending_LOSP</t>
  </si>
  <si>
    <t>INCM_TenantCharges_LOSP</t>
  </si>
  <si>
    <t>INCM_MiscOtherIncome_LOSP</t>
  </si>
  <si>
    <t>INCM_TotalIncome_TOTAL_LOSP</t>
  </si>
  <si>
    <t>INCM_ParkingSpaces_nonLOSP</t>
  </si>
  <si>
    <t>INCM_MiscRentIncome_nonLOSP</t>
  </si>
  <si>
    <t>INCM_IntIncome_ProjOps_nonLOSP</t>
  </si>
  <si>
    <t>INCM_LaundryVending_nonLOSP</t>
  </si>
  <si>
    <t>INCM_TenantCharges_nonLOSP</t>
  </si>
  <si>
    <t>INCM_MiscOtherIncome_nonLOSP</t>
  </si>
  <si>
    <t>INCM_TotalIncome_TOTAL_nonLOSP</t>
  </si>
  <si>
    <t>EXP_MgtFee_LOSP</t>
  </si>
  <si>
    <t>EXP_AssetMgtFee_LOSP</t>
  </si>
  <si>
    <t>EXP_OfficeSalaries_LOSP</t>
  </si>
  <si>
    <t>EXP_MgrSalary_LOSP</t>
  </si>
  <si>
    <t>EXP_HelthInsOtherBenefits_LOSP</t>
  </si>
  <si>
    <t>EXP_OthersalaryBenefits_LOSP</t>
  </si>
  <si>
    <t>EXP_AdminRentFreeUnit_LOSP</t>
  </si>
  <si>
    <t>EXP_AdvertMarketing_LOSP</t>
  </si>
  <si>
    <t>EXP_OfficeExp_LOSP</t>
  </si>
  <si>
    <t>EXP_OfficeRent_LOSP</t>
  </si>
  <si>
    <t>EXP_LegalExp-PPT_LOSP</t>
  </si>
  <si>
    <t>EXP_Audit_LOSP</t>
  </si>
  <si>
    <t>EXP_BookkeepingAccntngSvcs_LOSP</t>
  </si>
  <si>
    <t>EXP_BadDebts_LOSP</t>
  </si>
  <si>
    <t>EXP_MiscAdminExp_LOSP</t>
  </si>
  <si>
    <t>EXP_Electricity_LOSP</t>
  </si>
  <si>
    <t>EXP_Water_LOSP</t>
  </si>
  <si>
    <t>EXP_Gas_LOSP</t>
  </si>
  <si>
    <t>EXP_Sewer_LOSP</t>
  </si>
  <si>
    <t>EXP_RealEstateTaxes_LOSP</t>
  </si>
  <si>
    <t>EXP_PayrollTaxes_LOSP</t>
  </si>
  <si>
    <t>EXP_MiscTaxesLicensesPermits_LOSP</t>
  </si>
  <si>
    <t>EXP_PropertyAndLiabInsur_LOSP</t>
  </si>
  <si>
    <t>EXP_FidelityBondInsur_LOSP</t>
  </si>
  <si>
    <t>EXP_WorkersComp_LOSP</t>
  </si>
  <si>
    <t>EXP_DirectorOfficerLiabInsur_LOSP</t>
  </si>
  <si>
    <t>EXP_MgtFee_nonLOSP</t>
  </si>
  <si>
    <t>EXP_AssetMgtFee_nonLOSP</t>
  </si>
  <si>
    <t>EXP_OfficeSalaries_nonLOSP</t>
  </si>
  <si>
    <t>EXP_MgrSalary_nonLOSP</t>
  </si>
  <si>
    <t>EXP_HelthInsOtherBenefits_nonLOSP</t>
  </si>
  <si>
    <t>EXP_OthersalaryBenefits_nonLOSP</t>
  </si>
  <si>
    <t>EXP_AdminRentFreeUnit_nonLOSP</t>
  </si>
  <si>
    <t>EXP_AdvertMarketing_nonLOSP</t>
  </si>
  <si>
    <t>EXP_OfficeExp_nonLOSP</t>
  </si>
  <si>
    <t>EXP_OfficeRent_nonLOSP</t>
  </si>
  <si>
    <t>EXP_LegalExp-PPT_nonLOSP</t>
  </si>
  <si>
    <t>EXP_Audit_nonLOSP</t>
  </si>
  <si>
    <t>EXP_BookkeepingAccntngSvcs_nonLOSP</t>
  </si>
  <si>
    <t>EXP_BadDebts_nonLOSP</t>
  </si>
  <si>
    <t>EXP_MiscAdminExp_nonLOSP</t>
  </si>
  <si>
    <t>EXP_Electricity_nonLOSP</t>
  </si>
  <si>
    <t>EXP_Water_nonLOSP</t>
  </si>
  <si>
    <t>EXP_Gas_nonLOSP</t>
  </si>
  <si>
    <t>EXP_Sewer_nonLOSP</t>
  </si>
  <si>
    <t>EXP_RealEstateTaxes_nonLOSP</t>
  </si>
  <si>
    <t>EXP_PayrollTaxes_nonLOSP</t>
  </si>
  <si>
    <t>EXP_MiscTaxesLicensesPermits_nonLOSP</t>
  </si>
  <si>
    <t>EXP_PropertyAndLiabInsur_nonLOSP</t>
  </si>
  <si>
    <t>EXP_FidelityBondInsur_nonLOSP</t>
  </si>
  <si>
    <t>EXP_WorkersComp_nonLOSP</t>
  </si>
  <si>
    <t>EXP_DirectorOfficerLiabInsur_nonLOSP</t>
  </si>
  <si>
    <t>EXP_MaintRepairPayroll_LOSP</t>
  </si>
  <si>
    <t>EXP_Supplies_LOSP</t>
  </si>
  <si>
    <t>EXP_Contracts_LOSP</t>
  </si>
  <si>
    <t>EXP_GarbageTrashRemoval_LOSP</t>
  </si>
  <si>
    <t>EXP_SecurityPayrollAndOrContract_LOSP</t>
  </si>
  <si>
    <t>EXP_HVACRepairsMaint_LOSP</t>
  </si>
  <si>
    <t>EXP_VehicleAndMaintEquipmtOpsAndRepairs_LOSP</t>
  </si>
  <si>
    <t>EXP_MiscOpsMaintExpenses_LOSP</t>
  </si>
  <si>
    <t>EXP_SuppSvcs_LOSP</t>
  </si>
  <si>
    <t>EXP_TOT_OP_EXPENSES_LOSP</t>
  </si>
  <si>
    <t>RR_Elgbl_Cap_LOSP</t>
  </si>
  <si>
    <t>RR_Elgbl_non-cap_TOT_LOSP</t>
  </si>
  <si>
    <t>TotOpExp-New_LOSP</t>
  </si>
  <si>
    <t>EXP_MaintRepairPayroll_nonLOSP</t>
  </si>
  <si>
    <t>EXP_Supplies_nonLOSP</t>
  </si>
  <si>
    <t>EXP_Contracts_nonLOSP</t>
  </si>
  <si>
    <t>EXP_GarbageTrashRemoval_nonLOSP</t>
  </si>
  <si>
    <t>EXP_SecurityPayrollAndOrContract_nonLOSP</t>
  </si>
  <si>
    <t>EXP_HVACRepairsMaint_nonLOSP</t>
  </si>
  <si>
    <t>EXP_VehicleAndMaintEquipmtOpsAndRepairs_nonLOSP</t>
  </si>
  <si>
    <t>EXP_MiscOpsMaintExpenses_nonLOSP</t>
  </si>
  <si>
    <t>EXP_SuppSvcs_nonLOSP</t>
  </si>
  <si>
    <t>EXP_TOT_OP_EXPENSES_nonLOSP</t>
  </si>
  <si>
    <t>RR_Elgbl_Cap_nonLOSP</t>
  </si>
  <si>
    <t>TotOpExp-New_nonLOSP</t>
  </si>
  <si>
    <t>GroundLessorBaseRent_LOSP</t>
  </si>
  <si>
    <t>GroundLessorBaseRent_nonLOSP</t>
  </si>
  <si>
    <t>CF_ReplcmtRsrvDeposits_LOSP</t>
  </si>
  <si>
    <t>CF_OpRsrvDeposits_LOSP</t>
  </si>
  <si>
    <t>CF_OpRsrvWdrawals_LOSP</t>
  </si>
  <si>
    <t>CF_OtherRqdRsrvDeposits_LOSP</t>
  </si>
  <si>
    <t>CF_OtherRqdRsrvWdrawals_LOSP</t>
  </si>
  <si>
    <t>CF_ReplcmtRsrvDeposits_nonLOSP</t>
  </si>
  <si>
    <t>CF_OpRsrvDeposits_nonLOSP</t>
  </si>
  <si>
    <t>CF_OpRsrvWdrawals_nonLOSP</t>
  </si>
  <si>
    <t>CF_OtherRqdRsrvDeposits_nonLOSP</t>
  </si>
  <si>
    <t>CF_OtherRqdRsrvWdrawals_nonLOSP</t>
  </si>
  <si>
    <t>NOI-2_LOSP</t>
  </si>
  <si>
    <t>NOI-2_nonLOSP</t>
  </si>
  <si>
    <t>CF_PrincplPaidLender1_LOSP</t>
  </si>
  <si>
    <t>CF_IntPaidLender1_LOSP</t>
  </si>
  <si>
    <t>Lender1Other_LOSP</t>
  </si>
  <si>
    <t>CF_PrincplPaidLender2_LOSP</t>
  </si>
  <si>
    <t>CF_IntPaidLender2_LOSP</t>
  </si>
  <si>
    <t>Lender2Other_LOSP</t>
  </si>
  <si>
    <t>CF_PrincplPaidLender3_LOSP</t>
  </si>
  <si>
    <t>CF_IntPaidLender3_LOSP</t>
  </si>
  <si>
    <t>Lender3Other_LOSP</t>
  </si>
  <si>
    <t>Lender4Prncpl_LOSP</t>
  </si>
  <si>
    <t>Lender4Int_LOSP</t>
  </si>
  <si>
    <t>Lender4Other_LOSP</t>
  </si>
  <si>
    <t>CF_TotalDebtServicePmts_LOSP</t>
  </si>
  <si>
    <t>CF_PrincplPaidLender1_nonLOSP</t>
  </si>
  <si>
    <t>CF_IntPaidLender1_nonLOSP</t>
  </si>
  <si>
    <t>Lender1Other_nonLOSP</t>
  </si>
  <si>
    <t>CF_PrincplPaidLender2_nonLOSP</t>
  </si>
  <si>
    <t>CF_IntPaidLender2_nonLOSP</t>
  </si>
  <si>
    <t>Lender2Other_nonLOSP</t>
  </si>
  <si>
    <t>CF_PrincplPaidLender3_nonLOSP</t>
  </si>
  <si>
    <t>CF_IntPaidLender3_nonLOSP</t>
  </si>
  <si>
    <t>Lender3Other_nonLOSP</t>
  </si>
  <si>
    <t>Lender4Prncpl_nonLOSP</t>
  </si>
  <si>
    <t>Lender4Int_nonLOSP</t>
  </si>
  <si>
    <t>Lender4Other_nonLOSP</t>
  </si>
  <si>
    <t>CF_TotalDebtServicePmts_nonLOSP</t>
  </si>
  <si>
    <t>SurplusCash_LOSP</t>
  </si>
  <si>
    <t>SurplusCash_nonLOSP</t>
  </si>
  <si>
    <t>CF_PshipMgtFee_LOSP</t>
  </si>
  <si>
    <t>LPAMFee_Res_LOSP</t>
  </si>
  <si>
    <t>CF_DfrrdDevFee_LOSP</t>
  </si>
  <si>
    <t>CF_OtherPmts_Res_LOSP</t>
  </si>
  <si>
    <t>WF_Lender1Prncpl_Res_LOSP</t>
  </si>
  <si>
    <t>WF_Lender1Int_Res_LOSP</t>
  </si>
  <si>
    <t>WF_Lender2Prncpl_Res_LOSP</t>
  </si>
  <si>
    <t>WF_Lender2Int_Res_LOSP</t>
  </si>
  <si>
    <t>OpRsrvReplnsh_Res_nonLOSP</t>
  </si>
  <si>
    <t>CF_AssetMgtFeeExcess3k_nonLOSP</t>
  </si>
  <si>
    <t>CF_PshipMgtFee_nonLOSP</t>
  </si>
  <si>
    <t>PshipMgtFeeAccru_Res_nonLOSP</t>
  </si>
  <si>
    <t>LPAMFee_Res_nonLOSP</t>
  </si>
  <si>
    <t>LPAMFeeAccru_Res_nonLOSP</t>
  </si>
  <si>
    <t>CF_DfrrdDevFee_nonLOSP</t>
  </si>
  <si>
    <t>CF_OtherPmts_Res_nonLOSP</t>
  </si>
  <si>
    <t>WF_Lender1Prncpl_Res_nonLOSP</t>
  </si>
  <si>
    <t>WF_Lender1Int_Res_nonLOSP</t>
  </si>
  <si>
    <t>WF_Lender2Prncpl_Res_nonLOSP</t>
  </si>
  <si>
    <t>WF_Lender2Int_Res_nonLOSP</t>
  </si>
  <si>
    <t>RR_ResRcts_TOTAL_LOSP</t>
  </si>
  <si>
    <t>RR_ProposedResRctsPmt_LOSP</t>
  </si>
  <si>
    <t>CF_GroundLeasePmt_LOSP</t>
  </si>
  <si>
    <t>RRProposedRezRcts-TOTAL_LOSP</t>
  </si>
  <si>
    <t>WF_Lender3Prncpl_Res_LOSP</t>
  </si>
  <si>
    <t>WF_Lender4Prncpl_Res_LOSP</t>
  </si>
  <si>
    <t>RezRctsLender5Amt_LOSP</t>
  </si>
  <si>
    <t>RR_ResRcts_TOTAL_nonLOSP</t>
  </si>
  <si>
    <t>RR_ProposedResRctsPmt_nonLOSP</t>
  </si>
  <si>
    <t>CF_GroundLeasePmt_nonLOSP</t>
  </si>
  <si>
    <t>RRProposedRezRcts-TOTAL_nonLOSP</t>
  </si>
  <si>
    <t>WF_Lender3Prncpl_Res_nonLOSP</t>
  </si>
  <si>
    <t>WF_Lender4Prncpl_Res_nonLOSP</t>
  </si>
  <si>
    <t>RezRctsLender5Amt_nonLOSP</t>
  </si>
  <si>
    <t>RR_ProposedOwnerDistrib_nonLOSP</t>
  </si>
  <si>
    <t>FinalBal_LOSP</t>
  </si>
  <si>
    <t>FinalBal_nonLOSP</t>
  </si>
  <si>
    <t>WF_Lender5Name</t>
  </si>
  <si>
    <t>NonRes_Surplus_LOSP</t>
  </si>
  <si>
    <t>NonRes_Surplus_nonLOSP</t>
  </si>
  <si>
    <t>RR_LOSPsurplus_LOSP</t>
  </si>
  <si>
    <t>RR_Elgbl_non-cap_TOT_nonLOSP</t>
  </si>
  <si>
    <t>RentAssistPmt_Other_LOSP</t>
  </si>
  <si>
    <t>RentAssistPmtOther_Source_LOSP</t>
  </si>
  <si>
    <t>color code to ID lookup cols</t>
  </si>
  <si>
    <t>Popltn_PhysOrMentalDisab_Actual</t>
  </si>
  <si>
    <t>Popltn_PhysOrMentalDisab_Target</t>
  </si>
  <si>
    <t>CF_BondMonFee_Res_Commrcl_LOSP</t>
  </si>
  <si>
    <t>CF_BondMonFee_Res_Commrcl_nonLOSP</t>
  </si>
  <si>
    <t>Yes</t>
  </si>
  <si>
    <t>1015 Shotwell</t>
  </si>
  <si>
    <t>Shotwell</t>
  </si>
  <si>
    <t>1880 Pine Street- RAD California Corridor</t>
  </si>
  <si>
    <t>1912 McAllister St</t>
  </si>
  <si>
    <t>2217 Mission Street</t>
  </si>
  <si>
    <t>269 &amp;271 Richland Avenue</t>
  </si>
  <si>
    <t>308 Turk Street</t>
  </si>
  <si>
    <t>3182 -3198 24th Street</t>
  </si>
  <si>
    <t>3182 -3198</t>
  </si>
  <si>
    <t>24th Street</t>
  </si>
  <si>
    <t>20th</t>
  </si>
  <si>
    <t>344-348 Precita Avenue</t>
  </si>
  <si>
    <t>344- 348</t>
  </si>
  <si>
    <t>35 Fair Avenue</t>
  </si>
  <si>
    <t>29-35</t>
  </si>
  <si>
    <t>3800 Mission Street- Small Sites Project</t>
  </si>
  <si>
    <t>3800, 3802, 3804</t>
  </si>
  <si>
    <t>4042 - 4048 Fulton Street</t>
  </si>
  <si>
    <t>525 O'Farrell Street</t>
  </si>
  <si>
    <t>63-67 Lapidge Street</t>
  </si>
  <si>
    <t>63-67</t>
  </si>
  <si>
    <t>0 Confidential Yes</t>
  </si>
  <si>
    <t>777 Broadway Yes</t>
  </si>
  <si>
    <t>150 Broadway Yes</t>
  </si>
  <si>
    <t>Chinook Family Apartments</t>
  </si>
  <si>
    <t>Dr. George W Davis Senior Housing</t>
  </si>
  <si>
    <t>Halibut Court</t>
  </si>
  <si>
    <t>1590 Broadway Yes</t>
  </si>
  <si>
    <t>350 Friedell St</t>
  </si>
  <si>
    <t>Rene Cazenave Apts (Transbay Block 11A)</t>
  </si>
  <si>
    <t>534 Broadway Yes</t>
  </si>
  <si>
    <t>Cells below allocate any non-residential surplus from H137.</t>
  </si>
  <si>
    <t>Paid out of Operating Budget, to be reimbursed by RR (shows the amount entered  in row 103 above)</t>
  </si>
  <si>
    <r>
      <rPr>
        <sz val="14"/>
        <rFont val="Arial"/>
        <family val="2"/>
      </rPr>
      <t xml:space="preserve">Gender, Sex at Birth, and Sexual Orientation/Sexual Identity: on June 30, 2017, MOHCD published and distributed a Notice regarding new requirements to collect this demographic data. Click this cell to review the </t>
    </r>
    <r>
      <rPr>
        <u/>
        <sz val="14"/>
        <color rgb="FF0070C0"/>
        <rFont val="Arial"/>
        <family val="2"/>
      </rPr>
      <t>Notice</t>
    </r>
    <r>
      <rPr>
        <sz val="14"/>
        <rFont val="Arial"/>
        <family val="2"/>
      </rPr>
      <t xml:space="preserve"> if you have any questions about this. </t>
    </r>
  </si>
  <si>
    <r>
      <t xml:space="preserve">Gender 
(select from drop down menu)
</t>
    </r>
    <r>
      <rPr>
        <b/>
        <sz val="10"/>
        <rFont val="Arial"/>
        <family val="2"/>
      </rPr>
      <t>for Occupancies AFTER 6/30/2017</t>
    </r>
  </si>
  <si>
    <r>
      <t xml:space="preserve">Sexual Orientation / Sexual Identity 
(select from drop down menu)
</t>
    </r>
    <r>
      <rPr>
        <b/>
        <sz val="10"/>
        <rFont val="Arial"/>
        <family val="2"/>
      </rPr>
      <t>for Occupancies AFTER 6/30/2017</t>
    </r>
  </si>
  <si>
    <t xml:space="preserve">Use this worksheet to report the activity only of a transitional housing program, including program capacity, number of people served, length of stay and destination upon exit. Please follow the instructions provided on the worksheet. </t>
  </si>
  <si>
    <t xml:space="preserve">MOHCD is required to collect this data by San Francisco Adminstrative Code Sections 20.500-20.508. Please follow the instructions provided on the worksheet. </t>
  </si>
  <si>
    <t>=400</t>
  </si>
  <si>
    <t>AMRdue</t>
  </si>
  <si>
    <t>1015 Shotwell St</t>
  </si>
  <si>
    <t>1750 McAllister</t>
  </si>
  <si>
    <t>1750 McAllister St</t>
  </si>
  <si>
    <t>1760 Bush St</t>
  </si>
  <si>
    <t>19-23 Precita Avenue - Small Sites</t>
  </si>
  <si>
    <t>19-23</t>
  </si>
  <si>
    <t>19-23 Precita Ave</t>
  </si>
  <si>
    <t>2217 Mission St</t>
  </si>
  <si>
    <t>Richland</t>
  </si>
  <si>
    <t>269 &amp; 271  Richland Ave</t>
  </si>
  <si>
    <t>2698 California Street</t>
  </si>
  <si>
    <t>2698 California St</t>
  </si>
  <si>
    <t>3182 -3198 24th Street St</t>
  </si>
  <si>
    <t>3329-3333 20th St</t>
  </si>
  <si>
    <t>3353 26th Street - Small Site</t>
  </si>
  <si>
    <t>3353 26th St</t>
  </si>
  <si>
    <t>344- 348 Precita Ave</t>
  </si>
  <si>
    <t>Fair</t>
  </si>
  <si>
    <t>29-35 Fair Ave</t>
  </si>
  <si>
    <t>350 Ellis</t>
  </si>
  <si>
    <t>350 Ellis St</t>
  </si>
  <si>
    <t>3800, 3802, 3804 Mission St</t>
  </si>
  <si>
    <t>3850 18th Street -Mission/Castro - RAD Cluster 6</t>
  </si>
  <si>
    <t>3850 18th St</t>
  </si>
  <si>
    <t>4042 Fulton St</t>
  </si>
  <si>
    <t>Lapidge</t>
  </si>
  <si>
    <t>63-67 Lapidge St</t>
  </si>
  <si>
    <t>Alemany</t>
  </si>
  <si>
    <t>Ellsworth</t>
  </si>
  <si>
    <t>951 Ellsworth St</t>
  </si>
  <si>
    <t>Drive</t>
  </si>
  <si>
    <t>Alice Griffith - Phase 3A (Block 1A)</t>
  </si>
  <si>
    <t>Arelious Walker</t>
  </si>
  <si>
    <t>2500 Arelious Walker Drive</t>
  </si>
  <si>
    <t>Alice Griffith - Phase 3B (Block 1B)</t>
  </si>
  <si>
    <t>Mission Bay</t>
  </si>
  <si>
    <t>Boulevard North</t>
  </si>
  <si>
    <t>588 Mission Bay Boulevard North</t>
  </si>
  <si>
    <t>Clementina</t>
  </si>
  <si>
    <t>Clementina Towers</t>
  </si>
  <si>
    <t>320 &amp; 330</t>
  </si>
  <si>
    <t>320 &amp; 330 Clementina St</t>
  </si>
  <si>
    <t>Road</t>
  </si>
  <si>
    <t>112 Middle Point Road</t>
  </si>
  <si>
    <t>Sacramento</t>
  </si>
  <si>
    <t>2451 Sacramento St</t>
  </si>
  <si>
    <t>John Burton Advocates for Youth Housing Complex</t>
  </si>
  <si>
    <t>Presidio</t>
  </si>
  <si>
    <t>800 Presidio Avenue</t>
  </si>
  <si>
    <t>Merry Go Round House - Small Sites</t>
  </si>
  <si>
    <t>2976 23rd St</t>
  </si>
  <si>
    <t>Mission Dolores - Mission/Castro RAD Cluster 6</t>
  </si>
  <si>
    <t>1855 15th St</t>
  </si>
  <si>
    <t>Ping Yuen</t>
  </si>
  <si>
    <t>655, 711-795 and 895</t>
  </si>
  <si>
    <t>655, 711-795 and 895 Pacific Ave</t>
  </si>
  <si>
    <t>Ping Yuen North</t>
  </si>
  <si>
    <t>838 Pacific Ave</t>
  </si>
  <si>
    <t>Rosa Parks Apartments (RAD)</t>
  </si>
  <si>
    <t>1251 Turk St</t>
  </si>
  <si>
    <t>Laguna</t>
  </si>
  <si>
    <t>TIHDI: CHP Villages</t>
  </si>
  <si>
    <t>Westbrook Apartments</t>
  </si>
  <si>
    <t>Harbor</t>
  </si>
  <si>
    <t>40 Harbor Rd</t>
  </si>
  <si>
    <t>Westside Courts Public Housing</t>
  </si>
  <si>
    <t>2501 Sutter St</t>
  </si>
  <si>
    <t xml:space="preserve">The waiting list must include the following information for each person or household who has applied to live at the project and is still waiting to be considered </t>
  </si>
  <si>
    <t xml:space="preserve">for an available unit: name of head-of-household, contact information, date of application, number of people in the household, stated household income and </t>
  </si>
  <si>
    <t xml:space="preserve">desired unit size.  Prior to submittal, the waiting list must be redacted to exclude any private information that should not be shared publicly, for example, </t>
  </si>
  <si>
    <t xml:space="preserve">Social Security numbers, ID numbers from other forms of identification, information related to disabilities or other health conditions. Please confer with </t>
  </si>
  <si>
    <t xml:space="preserve">legal counsel and let MOHCD know if you have any questions prior to submitting a copy of the project’s waitlist.This requirement is not applicable to </t>
  </si>
  <si>
    <t xml:space="preserve">transitional housing projects, residential treatment programs, shelters, group homes or permanent supportive housing for homeless people that is leased </t>
  </si>
  <si>
    <t>through a closed referral system.</t>
  </si>
  <si>
    <r>
      <rPr>
        <b/>
        <i/>
        <sz val="10"/>
        <color rgb="FFC00000"/>
        <rFont val="Arial"/>
        <family val="2"/>
      </rPr>
      <t>Columns L, N, P &amp; R are used for LOSP-funded projects. If the project does not receive LOSP funding, ignore these columns, otherwise please follow these data entry instructions for LOSP Projects:</t>
    </r>
    <r>
      <rPr>
        <b/>
        <sz val="10"/>
        <color rgb="FFC00000"/>
        <rFont val="Arial"/>
        <family val="2"/>
      </rPr>
      <t xml:space="preserve">
1a. LOSP revenue for the reporting period is pre-filled by MOHCD in P17.
1b-c. Enter Other Rental Assistance Amount &amp; Source in R20 &amp; R21. Use P26 if the project was approved to use an "alternative split". 
3. You must enter data in F24. The formula for cell N24 is F24-L24. If all rental subsidy is allocated to LOSP, then F24 should be = L24. If there is any Rental Subsidy allocated to non-LOSP, then use a formula for F24 the amount of nonLOSP subsidy + L24.
4. Most of the cells in columns L, N P &amp; R auto-calculate. </t>
    </r>
  </si>
  <si>
    <t>5. Cells in Column G with light green highlighting: can be overriden, but only if LOSP-specific expenses are being tracked at entry level in the project's accounting system. 
6. Cells with pink highlighting indicate where alternative percentages can be used to allocate LOSP/non-LOSP, but only with MOHCD written pre-approval; enter the pre-authorized "alternative percentages" from the approved MOHCD LOSP Budget in Column I.</t>
  </si>
  <si>
    <t xml:space="preserve">Leave cells below blank if Surplus Cash is &lt;= $0. </t>
  </si>
  <si>
    <t xml:space="preserve">1760 Bush </t>
  </si>
  <si>
    <t xml:space="preserve">269 &amp; 271 </t>
  </si>
  <si>
    <t xml:space="preserve">3019 23rd </t>
  </si>
  <si>
    <t xml:space="preserve">375 Eddy </t>
  </si>
  <si>
    <t xml:space="preserve">Golden Gate </t>
  </si>
  <si>
    <t xml:space="preserve">La Playa </t>
  </si>
  <si>
    <t xml:space="preserve">South Van Ness </t>
  </si>
  <si>
    <t>Y</t>
  </si>
  <si>
    <t>AdaptableOrAccessible</t>
  </si>
  <si>
    <t>Adaptable</t>
  </si>
  <si>
    <t>Y.</t>
  </si>
  <si>
    <r>
      <t xml:space="preserve"> “Adaptable”</t>
    </r>
    <r>
      <rPr>
        <sz val="14"/>
        <rFont val="Arial"/>
        <family val="2"/>
      </rPr>
      <t xml:space="preserve"> = The unit was designed to be accessible, but some accessibility features may have been omitted or concealed.</t>
    </r>
  </si>
  <si>
    <t>Is the Unit Fully Accessible or Adaptable? Use the drop-down menu below to indicate which</t>
  </si>
  <si>
    <t>Accessible - Mobility</t>
  </si>
  <si>
    <t>Accessible - Communication (Visual &amp; Hearing)</t>
  </si>
  <si>
    <t>Accessible - Mobility &amp; Communication</t>
  </si>
  <si>
    <t>Not Accessible or Adaptable</t>
  </si>
  <si>
    <r>
      <t xml:space="preserve"> “Accessible - Mobility”</t>
    </r>
    <r>
      <rPr>
        <sz val="14"/>
        <rFont val="Arial"/>
        <family val="2"/>
      </rPr>
      <t xml:space="preserve"> = The unit is fully-accessible for persons with mobility impairment.</t>
    </r>
  </si>
  <si>
    <r>
      <t xml:space="preserve"> “Accessible - Communication”</t>
    </r>
    <r>
      <rPr>
        <sz val="14"/>
        <rFont val="Arial"/>
        <family val="2"/>
      </rPr>
      <t xml:space="preserve"> = The unit is fully-accessible for persons with visual and hearing impairment.</t>
    </r>
  </si>
  <si>
    <r>
      <t xml:space="preserve"> “Mobility &amp; Communication”</t>
    </r>
    <r>
      <rPr>
        <sz val="14"/>
        <rFont val="Arial"/>
        <family val="2"/>
      </rPr>
      <t xml:space="preserve"> = The unit is fully-accessible for persons with mobility, visual and hearing impairment.</t>
    </r>
  </si>
  <si>
    <r>
      <t xml:space="preserve"> “Not Accessible or Adaptable”</t>
    </r>
    <r>
      <rPr>
        <sz val="14"/>
        <rFont val="Arial"/>
        <family val="2"/>
      </rPr>
      <t xml:space="preserve"> = Not Accessible or Adaptable.</t>
    </r>
  </si>
  <si>
    <r>
      <rPr>
        <b/>
        <sz val="14"/>
        <rFont val="Arial"/>
        <family val="2"/>
      </rPr>
      <t xml:space="preserve">Is the Unit Fully-Accessible or Adaptable? </t>
    </r>
    <r>
      <rPr>
        <sz val="14"/>
        <rFont val="Arial"/>
        <family val="2"/>
      </rPr>
      <t>Use the drop down menu to indicate which</t>
    </r>
  </si>
  <si>
    <r>
      <t xml:space="preserve">“HOPWA” </t>
    </r>
    <r>
      <rPr>
        <sz val="14"/>
        <rFont val="Arial"/>
        <family val="2"/>
      </rPr>
      <t xml:space="preserve">  =  The units is a HOPWA-designated unit under the project funding from the Housing Opportunities for People With AIDS program. While HOPWA is not a source of tenant-based assistance, if the tenant is receiving any other form of subsidy, please report on the amount of Rental Assistance on this worksheet and note the source of the Rental Assistance in the Narrative section of the AMR.</t>
    </r>
  </si>
  <si>
    <r>
      <t>“MHSA”</t>
    </r>
    <r>
      <rPr>
        <sz val="14"/>
        <rFont val="Arial"/>
        <family val="2"/>
      </rPr>
      <t xml:space="preserve"> = The unit receives a subsidy under CA HCD's Mental Health Services Act.</t>
    </r>
  </si>
  <si>
    <t>MHSA</t>
  </si>
  <si>
    <r>
      <t xml:space="preserve">“RAD - PBV” </t>
    </r>
    <r>
      <rPr>
        <sz val="14"/>
        <rFont val="Arial"/>
        <family val="2"/>
      </rPr>
      <t>= As a result of a RAD (Rental Assistance Demonstration) conversion, the project unit comes with a RAD Project-Based Section 8 subsidy that will remain with the unit after the tenant moves out.</t>
    </r>
  </si>
  <si>
    <t>RAD - PBV</t>
  </si>
  <si>
    <t>TPV</t>
  </si>
  <si>
    <r>
      <t xml:space="preserve">“TPV” </t>
    </r>
    <r>
      <rPr>
        <sz val="14"/>
        <rFont val="Arial"/>
        <family val="2"/>
      </rPr>
      <t>= As a result of a RAD (Rental Assistance Demonstration) conversion, the project unit comes with a HUD Tenant Protection Voucher subsidy to help prevent displacement and/or stabilize the property.</t>
    </r>
  </si>
  <si>
    <t>Outstanding Principal Balance As Of End of Reporting Period</t>
  </si>
  <si>
    <t xml:space="preserve">Asset Manager Name </t>
  </si>
  <si>
    <t xml:space="preserve">    Phone Number </t>
  </si>
  <si>
    <t xml:space="preserve">    E-mail </t>
  </si>
  <si>
    <r>
      <t>Waiting List -</t>
    </r>
    <r>
      <rPr>
        <sz val="14"/>
        <rFont val="Arial"/>
        <family val="2"/>
      </rPr>
      <t xml:space="preserve"> How many applicants are currently on the waiting list?  </t>
    </r>
    <r>
      <rPr>
        <i/>
        <sz val="14"/>
        <color rgb="FFFF0000"/>
        <rFont val="Arial"/>
        <family val="2"/>
      </rPr>
      <t>(Please also submit a copy of the waiting list, see AMR submission instructions.)</t>
    </r>
  </si>
  <si>
    <t>query = q_AMRList_2018</t>
  </si>
  <si>
    <t>MonitoredRY2018</t>
  </si>
  <si>
    <t>100 Appleton - RAD C5 (Holly Courts)</t>
  </si>
  <si>
    <t>1036 Mission Family Housing</t>
  </si>
  <si>
    <t>1036 Mission Street</t>
  </si>
  <si>
    <t>1068 Palou Ave - Hunters Pt EW - RAD SE Cluster (90 Kiska)</t>
  </si>
  <si>
    <t>1353-1357 Folsom Street</t>
  </si>
  <si>
    <t>1880 Pine St</t>
  </si>
  <si>
    <t>227 Bay St</t>
  </si>
  <si>
    <t>25 Sanchez St</t>
  </si>
  <si>
    <t>430 Turk St</t>
  </si>
  <si>
    <t>666 Ellis St</t>
  </si>
  <si>
    <t>70-72C Belcher Street</t>
  </si>
  <si>
    <t>939 Eddy St</t>
  </si>
  <si>
    <t>Alice Griffith Phase 1 (Block 2)</t>
  </si>
  <si>
    <t>2600 Arelious Walker Drive</t>
  </si>
  <si>
    <t>Alice Griffith Phase 2 (Block 4)</t>
  </si>
  <si>
    <t>2700 Arelious Walker Drive</t>
  </si>
  <si>
    <t>Arc Mercy Community</t>
  </si>
  <si>
    <t>1099 Masonic St</t>
  </si>
  <si>
    <t>Bill Sorro Community (Hugo/200 6th)</t>
  </si>
  <si>
    <t>1009 Howard St</t>
  </si>
  <si>
    <t>Hunters View Phase IIA- 7a-7d &amp; 11e-11f</t>
  </si>
  <si>
    <t>Hunters View Phase IIB (Block 10)</t>
  </si>
  <si>
    <t>Kennedy Towers (JFK Towers)</t>
  </si>
  <si>
    <t>Mary Helen Rogers Senior Community</t>
  </si>
  <si>
    <t>222 Beale Street</t>
  </si>
  <si>
    <t>Parkview Terraces</t>
  </si>
  <si>
    <t>871 Turk St</t>
  </si>
  <si>
    <t>1150 Scott St</t>
  </si>
  <si>
    <t>SOMA Family Apts (8th &amp; Howard)</t>
  </si>
  <si>
    <t>The Openhouse Community at 55 Laguna (Richardson Hall)</t>
  </si>
  <si>
    <t>55 Laguna St</t>
  </si>
  <si>
    <t xml:space="preserve">410 Avenue of the Palms </t>
  </si>
  <si>
    <t>Willie B. Kennedy Senior Housing</t>
  </si>
  <si>
    <t>1239 Turk St</t>
  </si>
  <si>
    <t>RevenueForAMR_2018</t>
  </si>
  <si>
    <r>
      <t xml:space="preserve">• Provide the data requested for the tenant population that was residing in the project at the end of the Reporting Period.  
• Identify manager's unit with the unit number, follow by "- Mgr". For example, if the manager occupies Unit 501, in column D, enter "501 - Mgr." For vacant units and manager's 
  units, provide data in columns D, E, F, Q and R only. 
• For tenants who moved in during the reporting period, the data entered in columns G, H &amp; I (at initial occupancy) should be the same as the data entered in columns J, K &amp; L 
  (within reporting period), respectively.
• For tenants who have transferred units within the project, report the initial occupancy data (occupancy date, income, household size) for the first unit that the tenant occupied in  
  the project, i.e. when they first moved in to the building.
• Before using the "paste" function to enter data for </t>
    </r>
    <r>
      <rPr>
        <sz val="12"/>
        <color rgb="FFFF0000"/>
        <rFont val="Arial"/>
        <family val="2"/>
      </rPr>
      <t>Unit Type</t>
    </r>
    <r>
      <rPr>
        <sz val="12"/>
        <rFont val="Arial"/>
        <family val="2"/>
      </rPr>
      <t xml:space="preserve"> and </t>
    </r>
    <r>
      <rPr>
        <sz val="12"/>
        <color rgb="FFFF0000"/>
        <rFont val="Arial"/>
        <family val="2"/>
      </rPr>
      <t>Rental Assistance Type</t>
    </r>
    <r>
      <rPr>
        <sz val="12"/>
        <rFont val="Arial"/>
        <family val="2"/>
      </rPr>
      <t xml:space="preserve">, please check the drop-down-menus to ensure that the data you are 
  pasting </t>
    </r>
    <r>
      <rPr>
        <sz val="12"/>
        <color rgb="FFFF0000"/>
        <rFont val="Arial"/>
        <family val="2"/>
      </rPr>
      <t>conforms with the choices of the drop-down menu</t>
    </r>
    <r>
      <rPr>
        <sz val="12"/>
        <rFont val="Arial"/>
        <family val="2"/>
      </rPr>
      <t>.  This will help prevent you from submitting forms with invalid data. Any forms with invalid data will be returned with 
  instructions to fix and resubmit.</t>
    </r>
  </si>
  <si>
    <r>
      <t xml:space="preserve">Is this Unit a HOPWA set-aside unit? (yes/no). </t>
    </r>
    <r>
      <rPr>
        <sz val="14"/>
        <rFont val="Arial"/>
        <family val="2"/>
      </rPr>
      <t>"HOPWA set-aside" units are required when HOPWA capital funding is used to acquire, construct or rehab a project.</t>
    </r>
  </si>
  <si>
    <t>Z.</t>
  </si>
  <si>
    <r>
      <rPr>
        <b/>
        <sz val="14"/>
        <rFont val="Arial"/>
        <family val="2"/>
      </rPr>
      <t>Disability.</t>
    </r>
    <r>
      <rPr>
        <sz val="14"/>
        <rFont val="Arial"/>
        <family val="2"/>
      </rPr>
      <t xml:space="preserve"> If the unit is occupied by a tenant with any of the listed disabilities, select the disability from the drop-down menu. Select "None" if the unit is not occupied by tenant with a listed disability.  </t>
    </r>
  </si>
  <si>
    <r>
      <t xml:space="preserve">Unit Type (Bed / SRO / Studio / 1BR / 2BR / 3BR / 4BR / 5+BR). 
</t>
    </r>
    <r>
      <rPr>
        <b/>
        <i/>
        <sz val="8"/>
        <color rgb="FFFF0000"/>
        <rFont val="Arial"/>
        <family val="2"/>
      </rPr>
      <t>Use drop-down menu choices ONLY!</t>
    </r>
  </si>
  <si>
    <r>
      <t>Rental Assistance Type
(select "none" if none)</t>
    </r>
    <r>
      <rPr>
        <b/>
        <sz val="8"/>
        <color rgb="FFFF0000"/>
        <rFont val="Arial"/>
        <family val="2"/>
      </rPr>
      <t xml:space="preserve"> 
</t>
    </r>
    <r>
      <rPr>
        <b/>
        <i/>
        <sz val="8"/>
        <color rgb="FFFF0000"/>
        <rFont val="Arial"/>
        <family val="2"/>
      </rPr>
      <t>Use drop-down menu choices ONLY!</t>
    </r>
  </si>
  <si>
    <t>Is this Unit a HOPWA set-aside unit? (yes/no)</t>
  </si>
  <si>
    <r>
      <t xml:space="preserve">• Provide the data requested for the tenant population that was residing in the project </t>
    </r>
    <r>
      <rPr>
        <b/>
        <i/>
        <sz val="10"/>
        <rFont val="Arial"/>
        <family val="2"/>
      </rPr>
      <t>at the end of the Reporting Period</t>
    </r>
    <r>
      <rPr>
        <sz val="10"/>
        <rFont val="Arial"/>
        <family val="2"/>
      </rPr>
      <t>.  
• Select one Ethnicity category for the head of household. If unknown, manager's or vacant unit, select "Not Reported".
• Select one Race category for the head of household. If unknown, manager's or vacant unit, select "Not Reported".
• For legacy race and ethnicity data that reports race and ethnicity as a single field, an additional category of “Not Reported” should be used to categorize a head of household’s race if it is listed as 
  Latino/Hispanic. In these cases, the person's ethnicity would be listed as Latino/Hispanic and his/her race would be listed as "Not Reported".
• Select one Gender and one Sexual Orientation/Identity category for the head of household. If unknown, manager's or vacant unit, select "Question Not Asked". See the Instructions 
   worksheet for a link to additional info about the City ordinance that requires collection of this data beginning in 2017.</t>
    </r>
  </si>
  <si>
    <t>40 thru 46</t>
  </si>
  <si>
    <t>51 thru 57</t>
  </si>
  <si>
    <t>Z</t>
  </si>
  <si>
    <t xml:space="preserve">Is Gender and Sexual Orientation/Identity selected for each household? </t>
  </si>
  <si>
    <t>Completeness - Gender &amp; Sexual Orientation/Identity</t>
  </si>
  <si>
    <r>
      <t>Distribution of Surplus Cash/Residual Receipts -</t>
    </r>
    <r>
      <rPr>
        <i/>
        <sz val="11"/>
        <rFont val="Arial"/>
        <family val="2"/>
      </rPr>
      <t xml:space="preserve"> </t>
    </r>
    <r>
      <rPr>
        <b/>
        <i/>
        <sz val="11"/>
        <rFont val="Arial"/>
        <family val="2"/>
      </rPr>
      <t>(Response Required.)</t>
    </r>
    <r>
      <rPr>
        <i/>
        <sz val="11"/>
        <rFont val="Arial"/>
        <family val="2"/>
      </rPr>
      <t xml:space="preserve"> In the space below, please provide a detailed narrative summary of allowable distributions of Surplus Cash that accurately reflects the requirements under all MOHCD agreements as well as the requirements of other funders and any other agreements that govern. Please include the calcluation methodology, applicable annual increases, etc. For proposed distribution amounts entered in column J, rows 143-165, select the distribution priority for each of the uses of cash flow/suprlus cash in column H. </t>
    </r>
    <r>
      <rPr>
        <b/>
        <i/>
        <sz val="11"/>
        <rFont val="Arial"/>
        <family val="2"/>
      </rPr>
      <t xml:space="preserve">If distribution of surplus cash is not allowed under MOHCD agreements or other funder agreements, enter N/A in the box below. </t>
    </r>
  </si>
  <si>
    <t>%age of Rent Increase (calculated, do not enter; Utility Allowance is factored into this calculation)</t>
  </si>
  <si>
    <t>Date of INITIAL OCCUPANCY</t>
  </si>
  <si>
    <t>568-570</t>
  </si>
  <si>
    <t>568-570 Natoma St</t>
  </si>
  <si>
    <t>588 MBN (Mission Bay South Block 7 West)</t>
  </si>
  <si>
    <t>626 Mission Bay</t>
  </si>
  <si>
    <t>626 Mission Bay Boulevard North</t>
  </si>
  <si>
    <t>Bernal Dwellings</t>
  </si>
  <si>
    <t>Kamille Court</t>
  </si>
  <si>
    <t xml:space="preserve">3138 Kamille Court </t>
  </si>
  <si>
    <t>Embarcadero Triangle (Parcel J)</t>
  </si>
  <si>
    <t>The Embarcadero</t>
  </si>
  <si>
    <t>600 The Embarcadero Yes</t>
  </si>
  <si>
    <t>Hayes Valley North</t>
  </si>
  <si>
    <t>Linden Street</t>
  </si>
  <si>
    <t xml:space="preserve">667 Linden Street </t>
  </si>
  <si>
    <t>Hayes Valley South</t>
  </si>
  <si>
    <t>Rose Street</t>
  </si>
  <si>
    <t xml:space="preserve">401 Rose Street </t>
  </si>
  <si>
    <t>Magdalena Mora Hous</t>
  </si>
  <si>
    <t>Potrero HOPE SF - Phase I - Block X</t>
  </si>
  <si>
    <t>Connecticut Street</t>
  </si>
  <si>
    <t xml:space="preserve">1101 Connecticut Street </t>
  </si>
  <si>
    <t>Small Sites</t>
  </si>
  <si>
    <t>800-810 Clement Street/289-91 9th Avenue</t>
  </si>
  <si>
    <t xml:space="preserve">800-810 Clement Street/289-91 9th Avenue 800-810 Clement Street/289-91 9th Avenue </t>
  </si>
  <si>
    <t>Transbay Block 7 Natalie Gubb Commons</t>
  </si>
  <si>
    <t>Transbay Block 8 Affordable Project</t>
  </si>
  <si>
    <t>Fremont Street</t>
  </si>
  <si>
    <t xml:space="preserve">250 Fremont Street </t>
  </si>
  <si>
    <t>Updated 1/10/2019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</si>
</sst>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d/yy"/>
    <numFmt numFmtId="167" formatCode="m/yyyy"/>
    <numFmt numFmtId="168" formatCode="0.000%"/>
    <numFmt numFmtId="169" formatCode="_(* #,##0_);_(* \(#,##0\);_(* &quot;-&quot;??_);_(@_)"/>
    <numFmt numFmtId="170" formatCode="&quot;$&quot;#,##0.00;\(&quot;$&quot;#,##0.00\)"/>
  </numFmts>
  <fonts count="125">
    <font>
      <sz val="10"/>
      <name val="Arial"/>
    </font>
    <font>
      <sz val="10"/>
      <name val="Arial"/>
      <family val="2"/>
    </font>
    <font>
      <sz val="10"/>
      <name val="Arial"/>
      <family val="2"/>
    </font>
    <font>
      <b/>
      <sz val="10"/>
      <name val="Arial"/>
      <family val="2"/>
    </font>
    <font>
      <i/>
      <sz val="10"/>
      <name val="Arial"/>
      <family val="2"/>
    </font>
    <font>
      <b/>
      <sz val="16"/>
      <name val="Arial"/>
      <family val="2"/>
    </font>
    <font>
      <b/>
      <sz val="12"/>
      <name val="Arial"/>
      <family val="2"/>
    </font>
    <font>
      <b/>
      <sz val="11"/>
      <name val="Arial"/>
      <family val="2"/>
    </font>
    <font>
      <sz val="11"/>
      <name val="Arial"/>
      <family val="2"/>
    </font>
    <font>
      <u/>
      <sz val="10"/>
      <color indexed="12"/>
      <name val="Arial"/>
      <family val="2"/>
    </font>
    <font>
      <sz val="12"/>
      <name val="Arial"/>
      <family val="2"/>
    </font>
    <font>
      <sz val="10"/>
      <name val="Arial Unicode MS"/>
      <family val="2"/>
    </font>
    <font>
      <b/>
      <i/>
      <sz val="10"/>
      <name val="Arial"/>
      <family val="2"/>
    </font>
    <font>
      <b/>
      <sz val="20"/>
      <name val="Arial"/>
      <family val="2"/>
    </font>
    <font>
      <b/>
      <i/>
      <sz val="12"/>
      <name val="Arial"/>
      <family val="2"/>
    </font>
    <font>
      <sz val="14"/>
      <name val="Arial Unicode MS"/>
      <family val="2"/>
    </font>
    <font>
      <sz val="14"/>
      <name val="Arial"/>
      <family val="2"/>
    </font>
    <font>
      <sz val="14"/>
      <name val="Arial"/>
      <family val="2"/>
    </font>
    <font>
      <strike/>
      <sz val="14"/>
      <color indexed="10"/>
      <name val="Arial"/>
      <family val="2"/>
    </font>
    <font>
      <b/>
      <sz val="14"/>
      <name val="Arial"/>
      <family val="2"/>
    </font>
    <font>
      <sz val="14"/>
      <name val="CG Omega (W1)"/>
    </font>
    <font>
      <b/>
      <sz val="14"/>
      <name val="CG Omega (W1)"/>
    </font>
    <font>
      <b/>
      <i/>
      <sz val="14"/>
      <name val="Arial"/>
      <family val="2"/>
    </font>
    <font>
      <i/>
      <sz val="14"/>
      <name val="Arial"/>
      <family val="2"/>
    </font>
    <font>
      <b/>
      <i/>
      <sz val="11"/>
      <name val="Arial"/>
      <family val="2"/>
    </font>
    <font>
      <b/>
      <sz val="14"/>
      <color indexed="9"/>
      <name val="Arial"/>
      <family val="2"/>
    </font>
    <font>
      <b/>
      <sz val="16"/>
      <color indexed="63"/>
      <name val="Arial"/>
      <family val="2"/>
    </font>
    <font>
      <b/>
      <i/>
      <sz val="14"/>
      <color indexed="9"/>
      <name val="Arial"/>
      <family val="2"/>
    </font>
    <font>
      <i/>
      <sz val="14"/>
      <color indexed="9"/>
      <name val="Arial"/>
      <family val="2"/>
    </font>
    <font>
      <sz val="8"/>
      <name val="Arial"/>
      <family val="2"/>
    </font>
    <font>
      <b/>
      <sz val="9"/>
      <name val="Arial"/>
      <family val="2"/>
    </font>
    <font>
      <b/>
      <sz val="8"/>
      <name val="Arial"/>
      <family val="2"/>
    </font>
    <font>
      <b/>
      <sz val="10"/>
      <name val="Arial"/>
      <family val="2"/>
    </font>
    <font>
      <sz val="8"/>
      <name val="Arial"/>
      <family val="2"/>
    </font>
    <font>
      <sz val="9"/>
      <name val="Arial"/>
      <family val="2"/>
    </font>
    <font>
      <b/>
      <u/>
      <sz val="10"/>
      <name val="Arial"/>
      <family val="2"/>
    </font>
    <font>
      <b/>
      <u/>
      <sz val="10"/>
      <name val="Arial"/>
      <family val="2"/>
    </font>
    <font>
      <b/>
      <sz val="16"/>
      <color indexed="12"/>
      <name val="Arial"/>
      <family val="2"/>
    </font>
    <font>
      <sz val="10"/>
      <color indexed="9"/>
      <name val="Arial"/>
      <family val="2"/>
    </font>
    <font>
      <u/>
      <sz val="14"/>
      <color indexed="12"/>
      <name val="Arial"/>
      <family val="2"/>
    </font>
    <font>
      <sz val="18"/>
      <color indexed="12"/>
      <name val="Arial"/>
      <family val="2"/>
    </font>
    <font>
      <sz val="10"/>
      <color indexed="10"/>
      <name val="Arial"/>
      <family val="2"/>
    </font>
    <font>
      <strike/>
      <sz val="16"/>
      <color indexed="12"/>
      <name val="Arial"/>
      <family val="2"/>
    </font>
    <font>
      <strike/>
      <sz val="10"/>
      <color indexed="12"/>
      <name val="Arial"/>
      <family val="2"/>
    </font>
    <font>
      <strike/>
      <sz val="10"/>
      <color indexed="48"/>
      <name val="Arial Unicode MS"/>
      <family val="2"/>
    </font>
    <font>
      <b/>
      <i/>
      <sz val="12"/>
      <name val="Arial Unicode MS"/>
      <family val="2"/>
    </font>
    <font>
      <b/>
      <sz val="12"/>
      <name val="Arial Unicode MS"/>
      <family val="2"/>
    </font>
    <font>
      <strike/>
      <sz val="10"/>
      <color indexed="48"/>
      <name val="Arial"/>
      <family val="2"/>
    </font>
    <font>
      <u/>
      <sz val="10"/>
      <color indexed="10"/>
      <name val="Arial"/>
      <family val="2"/>
    </font>
    <font>
      <sz val="10"/>
      <name val="Arial"/>
      <family val="2"/>
    </font>
    <font>
      <b/>
      <sz val="8"/>
      <color indexed="9"/>
      <name val="Arial"/>
      <family val="2"/>
    </font>
    <font>
      <b/>
      <sz val="8"/>
      <color indexed="8"/>
      <name val="Arial"/>
      <family val="2"/>
    </font>
    <font>
      <sz val="9"/>
      <color indexed="10"/>
      <name val="Arial"/>
      <family val="2"/>
    </font>
    <font>
      <sz val="6"/>
      <color indexed="10"/>
      <name val="Arial"/>
      <family val="2"/>
    </font>
    <font>
      <b/>
      <sz val="16"/>
      <color indexed="12"/>
      <name val="Arial"/>
      <family val="2"/>
    </font>
    <font>
      <b/>
      <i/>
      <sz val="14"/>
      <color indexed="10"/>
      <name val="Arial Unicode MS"/>
      <family val="2"/>
    </font>
    <font>
      <sz val="14"/>
      <name val="Arial"/>
      <family val="2"/>
    </font>
    <font>
      <b/>
      <sz val="14"/>
      <name val="Arial"/>
      <family val="2"/>
    </font>
    <font>
      <sz val="14"/>
      <color indexed="10"/>
      <name val="Arial"/>
      <family val="2"/>
    </font>
    <font>
      <i/>
      <sz val="14"/>
      <color indexed="10"/>
      <name val="Arial"/>
      <family val="2"/>
    </font>
    <font>
      <b/>
      <u/>
      <sz val="10"/>
      <color indexed="12"/>
      <name val="Arial"/>
      <family val="2"/>
    </font>
    <font>
      <i/>
      <sz val="12"/>
      <name val="Arial"/>
      <family val="2"/>
    </font>
    <font>
      <sz val="11"/>
      <color indexed="10"/>
      <name val="Arial"/>
      <family val="2"/>
    </font>
    <font>
      <b/>
      <u/>
      <sz val="12"/>
      <color indexed="10"/>
      <name val="Arial"/>
      <family val="2"/>
    </font>
    <font>
      <b/>
      <sz val="12"/>
      <color indexed="10"/>
      <name val="Arial"/>
      <family val="2"/>
    </font>
    <font>
      <b/>
      <sz val="12"/>
      <color indexed="8"/>
      <name val="Arial"/>
      <family val="2"/>
    </font>
    <font>
      <sz val="8"/>
      <color indexed="81"/>
      <name val="Tahoma"/>
      <family val="2"/>
    </font>
    <font>
      <b/>
      <sz val="8"/>
      <color indexed="81"/>
      <name val="Tahoma"/>
      <family val="2"/>
    </font>
    <font>
      <b/>
      <sz val="22"/>
      <name val="Arial"/>
      <family val="2"/>
    </font>
    <font>
      <b/>
      <i/>
      <sz val="12"/>
      <color indexed="10"/>
      <name val="Arial"/>
      <family val="2"/>
    </font>
    <font>
      <b/>
      <i/>
      <sz val="14"/>
      <color indexed="10"/>
      <name val="Arial"/>
      <family val="2"/>
    </font>
    <font>
      <b/>
      <sz val="12"/>
      <color rgb="FFFF0000"/>
      <name val="Arial"/>
      <family val="2"/>
    </font>
    <font>
      <b/>
      <i/>
      <sz val="12"/>
      <color rgb="FFFF0000"/>
      <name val="Arial"/>
      <family val="2"/>
    </font>
    <font>
      <sz val="8"/>
      <color rgb="FFFF0000"/>
      <name val="Arial"/>
      <family val="2"/>
    </font>
    <font>
      <sz val="9"/>
      <color indexed="81"/>
      <name val="Tahoma"/>
      <family val="2"/>
    </font>
    <font>
      <b/>
      <sz val="9"/>
      <color indexed="81"/>
      <name val="Tahoma"/>
      <family val="2"/>
    </font>
    <font>
      <b/>
      <sz val="14"/>
      <color theme="7" tint="-0.249977111117893"/>
      <name val="Arial Unicode MS"/>
      <family val="2"/>
    </font>
    <font>
      <b/>
      <sz val="9"/>
      <color indexed="12"/>
      <name val="Arial"/>
      <family val="2"/>
    </font>
    <font>
      <i/>
      <sz val="11"/>
      <name val="Arial"/>
      <family val="2"/>
    </font>
    <font>
      <b/>
      <i/>
      <sz val="10"/>
      <name val="Arial Unicode MS"/>
      <family val="2"/>
    </font>
    <font>
      <b/>
      <sz val="10"/>
      <color rgb="FFC00000"/>
      <name val="Arial"/>
      <family val="2"/>
    </font>
    <font>
      <u/>
      <sz val="12"/>
      <color indexed="12"/>
      <name val="Arial"/>
      <family val="2"/>
    </font>
    <font>
      <b/>
      <sz val="11"/>
      <color indexed="12"/>
      <name val="Arial"/>
      <family val="2"/>
    </font>
    <font>
      <b/>
      <sz val="11"/>
      <color rgb="FFC00000"/>
      <name val="Arial"/>
      <family val="2"/>
    </font>
    <font>
      <b/>
      <u/>
      <sz val="14"/>
      <name val="CG Omega (W1)"/>
    </font>
    <font>
      <u/>
      <sz val="14"/>
      <name val="CG Omega (W1)"/>
    </font>
    <font>
      <b/>
      <sz val="10"/>
      <color rgb="FFFF0000"/>
      <name val="Arial"/>
      <family val="2"/>
    </font>
    <font>
      <i/>
      <sz val="9"/>
      <name val="Arial"/>
      <family val="2"/>
    </font>
    <font>
      <b/>
      <i/>
      <sz val="10"/>
      <color rgb="FFFF0000"/>
      <name val="Arial"/>
      <family val="2"/>
    </font>
    <font>
      <i/>
      <sz val="14"/>
      <color rgb="FFFF0000"/>
      <name val="Arial"/>
      <family val="2"/>
    </font>
    <font>
      <b/>
      <i/>
      <sz val="14"/>
      <color rgb="FFFF0000"/>
      <name val="Arial Unicode MS"/>
      <family val="2"/>
    </font>
    <font>
      <i/>
      <sz val="14"/>
      <color theme="7" tint="-0.249977111117893"/>
      <name val="Arial Unicode MS"/>
      <family val="2"/>
    </font>
    <font>
      <strike/>
      <sz val="10"/>
      <name val="Arial"/>
      <family val="2"/>
    </font>
    <font>
      <b/>
      <strike/>
      <sz val="10"/>
      <name val="Arial"/>
      <family val="2"/>
    </font>
    <font>
      <b/>
      <strike/>
      <sz val="11"/>
      <name val="Arial"/>
      <family val="2"/>
    </font>
    <font>
      <b/>
      <strike/>
      <sz val="10"/>
      <name val="Cambria"/>
      <family val="1"/>
    </font>
    <font>
      <strike/>
      <sz val="10"/>
      <name val="Cambria"/>
      <family val="1"/>
    </font>
    <font>
      <b/>
      <i/>
      <u/>
      <sz val="10"/>
      <name val="Arial"/>
      <family val="2"/>
    </font>
    <font>
      <i/>
      <sz val="11"/>
      <color rgb="FFFF0000"/>
      <name val="Arial"/>
      <family val="2"/>
    </font>
    <font>
      <i/>
      <sz val="10"/>
      <color rgb="FFFF0000"/>
      <name val="Arial"/>
      <family val="2"/>
    </font>
    <font>
      <sz val="10"/>
      <color rgb="FFFF0000"/>
      <name val="Arial"/>
      <family val="2"/>
    </font>
    <font>
      <b/>
      <sz val="10"/>
      <color theme="0"/>
      <name val="Arial"/>
      <family val="2"/>
    </font>
    <font>
      <b/>
      <sz val="10"/>
      <color indexed="9"/>
      <name val="Arial"/>
      <family val="2"/>
    </font>
    <font>
      <sz val="10"/>
      <color theme="0"/>
      <name val="Arial"/>
      <family val="2"/>
    </font>
    <font>
      <b/>
      <i/>
      <sz val="11"/>
      <color rgb="FFFF0000"/>
      <name val="Arial"/>
      <family val="2"/>
    </font>
    <font>
      <u/>
      <sz val="11"/>
      <color indexed="12"/>
      <name val="Arial"/>
      <family val="2"/>
    </font>
    <font>
      <b/>
      <sz val="11"/>
      <color rgb="FF000000"/>
      <name val="Calibri"/>
      <family val="2"/>
    </font>
    <font>
      <sz val="11"/>
      <color rgb="FF000000"/>
      <name val="Calibri"/>
      <family val="2"/>
    </font>
    <font>
      <sz val="11"/>
      <color rgb="FF1F497D"/>
      <name val="Calibri"/>
      <family val="2"/>
    </font>
    <font>
      <sz val="22"/>
      <color theme="1" tint="4.9989318521683403E-2"/>
      <name val="Arial"/>
      <family val="2"/>
    </font>
    <font>
      <sz val="11"/>
      <name val="Calibri"/>
      <family val="2"/>
    </font>
    <font>
      <i/>
      <u/>
      <sz val="10"/>
      <name val="Arial"/>
      <family val="2"/>
    </font>
    <font>
      <b/>
      <i/>
      <sz val="14"/>
      <color rgb="FFFF0000"/>
      <name val="Arial"/>
      <family val="2"/>
    </font>
    <font>
      <sz val="12"/>
      <color rgb="FFFF0000"/>
      <name val="Arial"/>
      <family val="2"/>
    </font>
    <font>
      <i/>
      <sz val="12"/>
      <color rgb="FFFF0000"/>
      <name val="Arial"/>
      <family val="2"/>
    </font>
    <font>
      <b/>
      <i/>
      <sz val="10"/>
      <color rgb="FFC00000"/>
      <name val="Arial"/>
      <family val="2"/>
    </font>
    <font>
      <sz val="11"/>
      <color rgb="FFFF0000"/>
      <name val="Arial"/>
      <family val="2"/>
    </font>
    <font>
      <b/>
      <sz val="11"/>
      <color rgb="FFFF0000"/>
      <name val="Arial"/>
      <family val="2"/>
    </font>
    <font>
      <u/>
      <sz val="14"/>
      <color rgb="FF0070C0"/>
      <name val="Arial"/>
      <family val="2"/>
    </font>
    <font>
      <b/>
      <i/>
      <sz val="9"/>
      <color rgb="FFFF0000"/>
      <name val="Arial"/>
      <family val="2"/>
    </font>
    <font>
      <sz val="11"/>
      <color indexed="8"/>
      <name val="Calibri"/>
      <family val="2"/>
    </font>
    <font>
      <sz val="10"/>
      <color indexed="8"/>
      <name val="Arial"/>
      <family val="2"/>
    </font>
    <font>
      <b/>
      <i/>
      <sz val="8"/>
      <color rgb="FFFF0000"/>
      <name val="Arial"/>
      <family val="2"/>
    </font>
    <font>
      <b/>
      <sz val="8"/>
      <color rgb="FFFF0000"/>
      <name val="Arial"/>
      <family val="2"/>
    </font>
    <font>
      <sz val="11"/>
      <color rgb="FF000000"/>
      <name val="Calibri"/>
      <family val="2"/>
    </font>
  </fonts>
  <fills count="5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1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63"/>
        <bgColor indexed="64"/>
      </patternFill>
    </fill>
    <fill>
      <patternFill patternType="solid">
        <fgColor indexed="2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D6FDA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DF769"/>
        <bgColor indexed="64"/>
      </patternFill>
    </fill>
    <fill>
      <patternFill patternType="solid">
        <fgColor rgb="FF0099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89DFC8"/>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52"/>
        <bgColor indexed="64"/>
      </patternFill>
    </fill>
    <fill>
      <patternFill patternType="solid">
        <fgColor indexed="43"/>
        <bgColor indexed="64"/>
      </patternFill>
    </fill>
    <fill>
      <patternFill patternType="solid">
        <fgColor rgb="FFFFB9FF"/>
        <bgColor indexed="64"/>
      </patternFill>
    </fill>
    <fill>
      <patternFill patternType="solid">
        <fgColor rgb="FFFF9999"/>
        <bgColor indexed="64"/>
      </patternFill>
    </fill>
    <fill>
      <patternFill patternType="solid">
        <fgColor rgb="FF00B050"/>
        <bgColor indexed="64"/>
      </patternFill>
    </fill>
    <fill>
      <patternFill patternType="solid">
        <fgColor rgb="FF92D050"/>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66FF"/>
        <bgColor indexed="64"/>
      </patternFill>
    </fill>
    <fill>
      <patternFill patternType="solid">
        <fgColor rgb="FF00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0C0C0"/>
        <bgColor rgb="FFC0C0C0"/>
      </patternFill>
    </fill>
    <fill>
      <patternFill patternType="solid">
        <fgColor indexed="22"/>
        <bgColor indexed="0"/>
      </patternFill>
    </fill>
  </fills>
  <borders count="173">
    <border>
      <left/>
      <right/>
      <top/>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top/>
      <bottom style="thin">
        <color indexed="64"/>
      </bottom>
      <diagonal/>
    </border>
    <border>
      <left/>
      <right/>
      <top/>
      <bottom style="dashed">
        <color indexed="64"/>
      </bottom>
      <diagonal/>
    </border>
    <border>
      <left/>
      <right/>
      <top style="dotted">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hair">
        <color indexed="64"/>
      </left>
      <right/>
      <top style="hair">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hair">
        <color indexed="64"/>
      </left>
      <right/>
      <top style="thin">
        <color indexed="64"/>
      </top>
      <bottom/>
      <diagonal/>
    </border>
    <border>
      <left style="double">
        <color indexed="64"/>
      </left>
      <right/>
      <top/>
      <bottom/>
      <diagonal/>
    </border>
    <border>
      <left/>
      <right style="double">
        <color indexed="64"/>
      </right>
      <top/>
      <bottom style="thin">
        <color indexed="64"/>
      </bottom>
      <diagonal/>
    </border>
    <border>
      <left style="thin">
        <color indexed="64"/>
      </left>
      <right/>
      <top style="dotted">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ouble">
        <color indexed="64"/>
      </right>
      <top style="thin">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dashed">
        <color indexed="64"/>
      </top>
      <bottom style="dotted">
        <color indexed="64"/>
      </bottom>
      <diagonal/>
    </border>
    <border>
      <left style="dashed">
        <color indexed="64"/>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medium">
        <color indexed="64"/>
      </bottom>
      <diagonal/>
    </border>
    <border>
      <left style="dashed">
        <color indexed="64"/>
      </left>
      <right style="thin">
        <color indexed="64"/>
      </right>
      <top/>
      <bottom style="dashed">
        <color indexed="64"/>
      </bottom>
      <diagonal/>
    </border>
    <border>
      <left/>
      <right style="dashed">
        <color indexed="64"/>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dashed">
        <color indexed="64"/>
      </right>
      <top/>
      <bottom/>
      <diagonal/>
    </border>
    <border>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rgb="FFD0D7E5"/>
      </left>
      <right style="thin">
        <color rgb="FFD0D7E5"/>
      </right>
      <top style="thin">
        <color rgb="FFD0D7E5"/>
      </top>
      <bottom style="thin">
        <color rgb="FFD0D7E5"/>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121" fillId="0" borderId="0"/>
  </cellStyleXfs>
  <cellXfs count="2225">
    <xf numFmtId="0" fontId="0" fillId="0" borderId="0" xfId="0"/>
    <xf numFmtId="0" fontId="0" fillId="0" borderId="0" xfId="0" applyAlignment="1">
      <alignment horizontal="left"/>
    </xf>
    <xf numFmtId="0" fontId="0" fillId="0" borderId="0" xfId="0" applyAlignment="1">
      <alignment vertical="center"/>
    </xf>
    <xf numFmtId="0" fontId="0" fillId="0" borderId="0" xfId="0" applyAlignment="1"/>
    <xf numFmtId="0" fontId="0" fillId="0" borderId="0" xfId="0" applyBorder="1"/>
    <xf numFmtId="0" fontId="0" fillId="0" borderId="0" xfId="0" applyFill="1" applyAlignment="1"/>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xf>
    <xf numFmtId="0" fontId="15" fillId="0" borderId="0" xfId="0" applyFont="1" applyAlignment="1">
      <alignment vertical="center" wrapText="1"/>
    </xf>
    <xf numFmtId="0" fontId="21" fillId="0" borderId="0" xfId="0" applyFont="1" applyAlignment="1">
      <alignment vertical="center"/>
    </xf>
    <xf numFmtId="0" fontId="0" fillId="0" borderId="0" xfId="0" applyBorder="1" applyAlignment="1">
      <alignment vertical="center"/>
    </xf>
    <xf numFmtId="0" fontId="17" fillId="0" borderId="0" xfId="0" applyFont="1"/>
    <xf numFmtId="0" fontId="0" fillId="0" borderId="0" xfId="0" applyBorder="1" applyAlignment="1"/>
    <xf numFmtId="0" fontId="0" fillId="0" borderId="0" xfId="0" applyBorder="1" applyAlignment="1">
      <alignment horizontal="left"/>
    </xf>
    <xf numFmtId="0" fontId="5" fillId="0" borderId="0" xfId="0" applyFont="1" applyFill="1" applyBorder="1" applyAlignment="1">
      <alignment horizontal="left" vertical="center"/>
    </xf>
    <xf numFmtId="0" fontId="0" fillId="0" borderId="0" xfId="0" applyFill="1" applyAlignment="1">
      <alignment vertical="center"/>
    </xf>
    <xf numFmtId="0" fontId="0" fillId="0" borderId="0" xfId="0" applyFill="1"/>
    <xf numFmtId="0" fontId="19" fillId="0" borderId="0" xfId="0" applyFont="1" applyAlignment="1">
      <alignment horizontal="left"/>
    </xf>
    <xf numFmtId="0" fontId="17" fillId="0" borderId="0" xfId="0" applyFont="1" applyFill="1" applyBorder="1" applyAlignment="1">
      <alignment horizontal="left" vertical="center"/>
    </xf>
    <xf numFmtId="0" fontId="0" fillId="3" borderId="1" xfId="0" applyFill="1" applyBorder="1"/>
    <xf numFmtId="0" fontId="17" fillId="0" borderId="0" xfId="0" applyFont="1" applyBorder="1"/>
    <xf numFmtId="0" fontId="25" fillId="0" borderId="0" xfId="0" applyFont="1" applyFill="1" applyBorder="1" applyAlignment="1">
      <alignment horizontal="center"/>
    </xf>
    <xf numFmtId="0" fontId="19" fillId="0" borderId="0" xfId="0" applyFont="1" applyAlignment="1">
      <alignment horizontal="left" vertical="center" indent="1"/>
    </xf>
    <xf numFmtId="0" fontId="8" fillId="2" borderId="5" xfId="0" applyFont="1" applyFill="1" applyBorder="1" applyAlignment="1">
      <alignment horizontal="right" vertical="center" wrapText="1"/>
    </xf>
    <xf numFmtId="0" fontId="31" fillId="0" borderId="0" xfId="0" applyFont="1" applyAlignment="1">
      <alignment horizontal="center"/>
    </xf>
    <xf numFmtId="0" fontId="32" fillId="0" borderId="0" xfId="0" applyFont="1" applyAlignment="1">
      <alignment horizontal="center"/>
    </xf>
    <xf numFmtId="0" fontId="29" fillId="0" borderId="0" xfId="0" applyFont="1" applyAlignment="1">
      <alignment horizontal="center"/>
    </xf>
    <xf numFmtId="0" fontId="1" fillId="0" borderId="0" xfId="0" applyFont="1" applyAlignment="1">
      <alignment horizontal="center"/>
    </xf>
    <xf numFmtId="0" fontId="1" fillId="4" borderId="0" xfId="0" applyFont="1" applyFill="1" applyAlignment="1">
      <alignment horizontal="left"/>
    </xf>
    <xf numFmtId="0" fontId="1" fillId="4" borderId="0" xfId="0" applyFont="1" applyFill="1" applyAlignment="1">
      <alignment horizontal="center"/>
    </xf>
    <xf numFmtId="0" fontId="33" fillId="0" borderId="0" xfId="0" applyFont="1"/>
    <xf numFmtId="0" fontId="34" fillId="0" borderId="6" xfId="0" applyFont="1" applyBorder="1" applyAlignment="1">
      <alignment horizontal="center" vertical="center"/>
    </xf>
    <xf numFmtId="0" fontId="0" fillId="4" borderId="6" xfId="0" applyFill="1" applyBorder="1" applyAlignment="1">
      <alignment horizontal="center"/>
    </xf>
    <xf numFmtId="0" fontId="0" fillId="4" borderId="7" xfId="0" applyFill="1" applyBorder="1" applyAlignment="1">
      <alignment horizontal="center"/>
    </xf>
    <xf numFmtId="0" fontId="0" fillId="4" borderId="6" xfId="0" applyFill="1" applyBorder="1"/>
    <xf numFmtId="0" fontId="0" fillId="4" borderId="0" xfId="0" applyFill="1"/>
    <xf numFmtId="0" fontId="0" fillId="0" borderId="0" xfId="0" applyAlignment="1">
      <alignment horizontal="center"/>
    </xf>
    <xf numFmtId="0" fontId="30" fillId="0" borderId="8" xfId="0" applyFont="1" applyFill="1" applyBorder="1" applyAlignment="1">
      <alignment horizontal="right"/>
    </xf>
    <xf numFmtId="0" fontId="30" fillId="0" borderId="0" xfId="0" applyFont="1" applyFill="1" applyBorder="1" applyAlignment="1">
      <alignment horizontal="right"/>
    </xf>
    <xf numFmtId="0" fontId="32" fillId="3" borderId="11" xfId="0" applyFont="1" applyFill="1" applyBorder="1" applyAlignment="1">
      <alignment horizontal="center"/>
    </xf>
    <xf numFmtId="0" fontId="32" fillId="3" borderId="12" xfId="0" applyFont="1" applyFill="1" applyBorder="1" applyAlignment="1">
      <alignment horizontal="center"/>
    </xf>
    <xf numFmtId="0" fontId="32" fillId="3" borderId="8" xfId="0" applyFont="1" applyFill="1" applyBorder="1" applyAlignment="1">
      <alignment horizontal="center"/>
    </xf>
    <xf numFmtId="0" fontId="32" fillId="3" borderId="14" xfId="0" applyFont="1" applyFill="1" applyBorder="1" applyAlignment="1">
      <alignment horizontal="center"/>
    </xf>
    <xf numFmtId="0" fontId="0" fillId="0" borderId="15" xfId="0" applyBorder="1"/>
    <xf numFmtId="0" fontId="0" fillId="2" borderId="0" xfId="0" applyFill="1" applyBorder="1"/>
    <xf numFmtId="0" fontId="0" fillId="0" borderId="16" xfId="0" applyBorder="1"/>
    <xf numFmtId="0" fontId="0" fillId="0" borderId="9" xfId="0" applyBorder="1" applyAlignment="1">
      <alignment horizontal="center"/>
    </xf>
    <xf numFmtId="164" fontId="0" fillId="3" borderId="8" xfId="0" applyNumberFormat="1" applyFill="1" applyBorder="1"/>
    <xf numFmtId="0" fontId="0" fillId="0" borderId="18" xfId="0" applyBorder="1" applyAlignment="1">
      <alignment horizontal="center"/>
    </xf>
    <xf numFmtId="0" fontId="32" fillId="0" borderId="7" xfId="0" applyFont="1" applyFill="1" applyBorder="1" applyAlignment="1">
      <alignment horizontal="right"/>
    </xf>
    <xf numFmtId="0" fontId="3" fillId="0" borderId="9" xfId="0" applyFont="1" applyFill="1" applyBorder="1" applyAlignment="1">
      <alignment horizontal="left"/>
    </xf>
    <xf numFmtId="0" fontId="0" fillId="0" borderId="9" xfId="0" applyFill="1" applyBorder="1" applyAlignment="1">
      <alignment horizontal="left"/>
    </xf>
    <xf numFmtId="0" fontId="0" fillId="0" borderId="18" xfId="0" applyFill="1" applyBorder="1" applyAlignment="1">
      <alignment horizontal="left"/>
    </xf>
    <xf numFmtId="0" fontId="0" fillId="0" borderId="0" xfId="0" applyBorder="1" applyAlignment="1">
      <alignment horizontal="center"/>
    </xf>
    <xf numFmtId="164" fontId="0" fillId="0" borderId="0" xfId="0" applyNumberFormat="1" applyBorder="1"/>
    <xf numFmtId="0" fontId="0" fillId="0" borderId="16" xfId="0" applyBorder="1" applyAlignment="1">
      <alignment horizontal="center"/>
    </xf>
    <xf numFmtId="0" fontId="32" fillId="0" borderId="7" xfId="0" applyFont="1" applyBorder="1" applyAlignment="1">
      <alignment horizontal="right"/>
    </xf>
    <xf numFmtId="0" fontId="0" fillId="0" borderId="20" xfId="0" applyBorder="1" applyAlignment="1">
      <alignment horizontal="center"/>
    </xf>
    <xf numFmtId="164" fontId="3" fillId="0" borderId="1" xfId="0" applyNumberFormat="1" applyFont="1" applyBorder="1"/>
    <xf numFmtId="164" fontId="3" fillId="0" borderId="6" xfId="0" applyNumberFormat="1" applyFont="1" applyBorder="1"/>
    <xf numFmtId="164" fontId="0" fillId="3" borderId="9" xfId="0" applyNumberFormat="1" applyFill="1" applyBorder="1"/>
    <xf numFmtId="0" fontId="0" fillId="0" borderId="8" xfId="0" applyBorder="1" applyAlignment="1">
      <alignment horizontal="center"/>
    </xf>
    <xf numFmtId="164" fontId="0" fillId="0" borderId="8" xfId="0" applyNumberFormat="1" applyBorder="1"/>
    <xf numFmtId="0" fontId="0" fillId="0" borderId="21" xfId="0" applyBorder="1" applyAlignment="1">
      <alignment horizontal="center"/>
    </xf>
    <xf numFmtId="0" fontId="3" fillId="0" borderId="9" xfId="0" applyFont="1" applyFill="1" applyBorder="1" applyAlignment="1">
      <alignment horizontal="left" wrapText="1"/>
    </xf>
    <xf numFmtId="0" fontId="0" fillId="3" borderId="9" xfId="0" applyFill="1" applyBorder="1" applyAlignment="1">
      <alignment horizontal="center"/>
    </xf>
    <xf numFmtId="0" fontId="32" fillId="3" borderId="18" xfId="0" applyFont="1" applyFill="1" applyBorder="1" applyAlignment="1">
      <alignment horizontal="center"/>
    </xf>
    <xf numFmtId="0" fontId="32" fillId="3" borderId="25" xfId="0" applyFont="1" applyFill="1" applyBorder="1" applyAlignment="1">
      <alignment horizontal="center"/>
    </xf>
    <xf numFmtId="0" fontId="0" fillId="2" borderId="0" xfId="0" applyFill="1"/>
    <xf numFmtId="0" fontId="0" fillId="0" borderId="18" xfId="0" applyBorder="1"/>
    <xf numFmtId="0" fontId="0" fillId="0" borderId="20" xfId="0" applyBorder="1"/>
    <xf numFmtId="164" fontId="3" fillId="0" borderId="0" xfId="0" applyNumberFormat="1" applyFont="1" applyBorder="1"/>
    <xf numFmtId="0" fontId="32" fillId="0" borderId="0" xfId="0" applyFont="1" applyFill="1" applyBorder="1" applyAlignment="1">
      <alignment horizontal="left"/>
    </xf>
    <xf numFmtId="0" fontId="7" fillId="0" borderId="24" xfId="0" applyFont="1" applyBorder="1" applyAlignment="1">
      <alignment horizontal="left" vertical="top" wrapText="1" indent="1"/>
    </xf>
    <xf numFmtId="164" fontId="4" fillId="0" borderId="1" xfId="0" applyNumberFormat="1" applyFont="1" applyBorder="1"/>
    <xf numFmtId="0" fontId="8" fillId="0" borderId="6" xfId="0" applyFont="1" applyBorder="1" applyAlignment="1">
      <alignment horizontal="left" vertical="top" wrapText="1" indent="1"/>
    </xf>
    <xf numFmtId="164" fontId="2" fillId="0" borderId="0" xfId="0" applyNumberFormat="1" applyFont="1" applyBorder="1"/>
    <xf numFmtId="0" fontId="2" fillId="0" borderId="0" xfId="0" applyFont="1" applyBorder="1"/>
    <xf numFmtId="164" fontId="4" fillId="0" borderId="19" xfId="0" applyNumberFormat="1" applyFont="1" applyBorder="1" applyAlignment="1">
      <alignment wrapText="1"/>
    </xf>
    <xf numFmtId="0" fontId="8" fillId="0" borderId="0" xfId="0" applyFont="1" applyBorder="1" applyAlignment="1">
      <alignment horizontal="center"/>
    </xf>
    <xf numFmtId="0" fontId="0" fillId="0" borderId="0" xfId="0" applyFill="1" applyBorder="1"/>
    <xf numFmtId="0" fontId="7" fillId="0" borderId="0" xfId="0" applyFont="1" applyFill="1" applyBorder="1" applyAlignment="1">
      <alignment horizontal="left" vertical="top" wrapText="1"/>
    </xf>
    <xf numFmtId="0" fontId="3" fillId="0" borderId="6" xfId="0" applyFont="1" applyFill="1" applyBorder="1" applyAlignment="1">
      <alignment wrapText="1"/>
    </xf>
    <xf numFmtId="0" fontId="8" fillId="0" borderId="6" xfId="0" applyFont="1" applyFill="1" applyBorder="1" applyAlignment="1">
      <alignment horizontal="left" vertical="top" wrapText="1" indent="1"/>
    </xf>
    <xf numFmtId="1" fontId="30" fillId="0" borderId="13" xfId="0" applyNumberFormat="1" applyFont="1" applyFill="1" applyBorder="1" applyAlignment="1">
      <alignment horizontal="center"/>
    </xf>
    <xf numFmtId="0" fontId="0" fillId="2" borderId="6" xfId="0" applyFill="1" applyBorder="1" applyAlignment="1">
      <alignment horizontal="center" vertical="center"/>
    </xf>
    <xf numFmtId="0" fontId="16" fillId="0" borderId="0" xfId="0" applyFont="1"/>
    <xf numFmtId="0" fontId="17" fillId="0" borderId="0" xfId="0" applyFont="1" applyAlignment="1">
      <alignment horizontal="left" indent="2"/>
    </xf>
    <xf numFmtId="0" fontId="23" fillId="0" borderId="0" xfId="0" applyFont="1"/>
    <xf numFmtId="0" fontId="16" fillId="0" borderId="0" xfId="0" applyFont="1" applyAlignment="1">
      <alignment horizontal="left" indent="2"/>
    </xf>
    <xf numFmtId="0" fontId="8" fillId="2" borderId="4" xfId="0" applyFont="1" applyFill="1" applyBorder="1" applyAlignment="1">
      <alignment horizontal="right" vertical="center" wrapText="1"/>
    </xf>
    <xf numFmtId="0" fontId="17" fillId="0" borderId="4" xfId="0" applyFont="1" applyBorder="1" applyAlignment="1">
      <alignment vertical="center" wrapText="1"/>
    </xf>
    <xf numFmtId="0" fontId="2" fillId="0" borderId="0" xfId="0" applyFont="1" applyAlignment="1">
      <alignment horizontal="left" vertical="center" wrapText="1" indent="5"/>
    </xf>
    <xf numFmtId="0" fontId="16" fillId="0" borderId="0" xfId="0" applyFont="1" applyAlignment="1">
      <alignment vertical="center"/>
    </xf>
    <xf numFmtId="0" fontId="5" fillId="0" borderId="0" xfId="0" applyFont="1" applyAlignment="1">
      <alignment vertical="center"/>
    </xf>
    <xf numFmtId="0" fontId="7" fillId="3" borderId="6" xfId="0" applyFont="1" applyFill="1" applyBorder="1" applyAlignment="1">
      <alignment horizontal="center" vertical="center" wrapText="1"/>
    </xf>
    <xf numFmtId="0" fontId="0" fillId="3" borderId="20" xfId="0" applyFill="1" applyBorder="1"/>
    <xf numFmtId="0" fontId="32" fillId="3" borderId="7" xfId="0" applyFont="1" applyFill="1" applyBorder="1" applyAlignment="1">
      <alignment horizontal="left"/>
    </xf>
    <xf numFmtId="0" fontId="38" fillId="0" borderId="0" xfId="0" applyFont="1" applyAlignment="1">
      <alignment horizontal="center"/>
    </xf>
    <xf numFmtId="0" fontId="17" fillId="0" borderId="0" xfId="0" applyFont="1" applyAlignment="1">
      <alignment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right" vertical="center" wrapText="1"/>
    </xf>
    <xf numFmtId="0" fontId="0" fillId="0" borderId="0" xfId="0" applyFill="1" applyBorder="1" applyAlignment="1">
      <alignment vertical="center"/>
    </xf>
    <xf numFmtId="0" fontId="8" fillId="2" borderId="30" xfId="0" applyFont="1" applyFill="1" applyBorder="1" applyAlignment="1">
      <alignment horizontal="right" vertical="center" wrapText="1"/>
    </xf>
    <xf numFmtId="0" fontId="8" fillId="0" borderId="0" xfId="0" applyFont="1" applyAlignment="1">
      <alignment vertical="center" wrapText="1"/>
    </xf>
    <xf numFmtId="0" fontId="40" fillId="0" borderId="0" xfId="0" applyFont="1" applyAlignment="1">
      <alignment vertical="center"/>
    </xf>
    <xf numFmtId="0" fontId="41" fillId="0" borderId="0" xfId="0" applyFont="1"/>
    <xf numFmtId="0" fontId="42" fillId="0" borderId="0" xfId="0" applyFont="1"/>
    <xf numFmtId="0" fontId="43" fillId="0" borderId="0" xfId="0" applyFont="1" applyAlignment="1">
      <alignment vertical="center" wrapText="1"/>
    </xf>
    <xf numFmtId="0" fontId="44" fillId="0" borderId="0" xfId="0" applyFont="1" applyAlignment="1">
      <alignment vertical="center" wrapText="1"/>
    </xf>
    <xf numFmtId="0" fontId="30" fillId="0" borderId="31" xfId="0" applyFont="1" applyFill="1" applyBorder="1" applyAlignment="1">
      <alignment horizontal="right" vertical="center"/>
    </xf>
    <xf numFmtId="14" fontId="19" fillId="0" borderId="31" xfId="0" quotePrefix="1" applyNumberFormat="1" applyFont="1" applyFill="1" applyBorder="1" applyAlignment="1">
      <alignment horizontal="center" vertical="center"/>
    </xf>
    <xf numFmtId="14" fontId="17" fillId="0" borderId="31" xfId="0" applyNumberFormat="1" applyFont="1" applyFill="1" applyBorder="1" applyAlignment="1">
      <alignment horizontal="center" vertical="center"/>
    </xf>
    <xf numFmtId="0" fontId="19" fillId="0" borderId="31" xfId="0" applyNumberFormat="1" applyFont="1" applyFill="1" applyBorder="1" applyAlignment="1">
      <alignment horizontal="center" vertical="center"/>
    </xf>
    <xf numFmtId="0" fontId="41" fillId="0" borderId="0" xfId="0" applyFont="1" applyAlignment="1">
      <alignment vertical="center"/>
    </xf>
    <xf numFmtId="0" fontId="47" fillId="0" borderId="0" xfId="0" applyFont="1" applyAlignment="1">
      <alignment vertical="center"/>
    </xf>
    <xf numFmtId="0" fontId="43" fillId="0" borderId="0" xfId="0" applyFont="1" applyAlignment="1">
      <alignment vertical="center"/>
    </xf>
    <xf numFmtId="0" fontId="34" fillId="0" borderId="24" xfId="0" applyFont="1" applyBorder="1" applyAlignment="1">
      <alignment horizontal="center" vertical="center"/>
    </xf>
    <xf numFmtId="0" fontId="0" fillId="4" borderId="24" xfId="0" applyFill="1" applyBorder="1" applyAlignment="1">
      <alignment horizontal="center"/>
    </xf>
    <xf numFmtId="0" fontId="0" fillId="4" borderId="32" xfId="0" applyFill="1" applyBorder="1" applyAlignment="1">
      <alignment horizontal="center"/>
    </xf>
    <xf numFmtId="0" fontId="29" fillId="0" borderId="0" xfId="0" applyFont="1" applyBorder="1" applyAlignment="1">
      <alignment horizontal="center" wrapText="1"/>
    </xf>
    <xf numFmtId="0" fontId="1" fillId="0" borderId="0" xfId="0" applyFont="1" applyBorder="1" applyAlignment="1">
      <alignment horizontal="center" wrapText="1"/>
    </xf>
    <xf numFmtId="0" fontId="1" fillId="4" borderId="33" xfId="0" applyFont="1" applyFill="1" applyBorder="1" applyAlignment="1">
      <alignment horizontal="center"/>
    </xf>
    <xf numFmtId="0" fontId="1" fillId="4" borderId="34" xfId="0" applyFont="1" applyFill="1" applyBorder="1" applyAlignment="1">
      <alignment horizontal="center"/>
    </xf>
    <xf numFmtId="0" fontId="1" fillId="4" borderId="0" xfId="0" applyFont="1" applyFill="1" applyBorder="1" applyAlignment="1">
      <alignment horizontal="center" wrapText="1"/>
    </xf>
    <xf numFmtId="0" fontId="41" fillId="0" borderId="0" xfId="0" applyFont="1" applyBorder="1" applyAlignment="1">
      <alignment vertical="center"/>
    </xf>
    <xf numFmtId="0" fontId="48" fillId="0" borderId="0" xfId="3" applyFont="1" applyAlignment="1" applyProtection="1">
      <alignment vertical="center"/>
    </xf>
    <xf numFmtId="0" fontId="41" fillId="2" borderId="0" xfId="0" applyFont="1" applyFill="1" applyBorder="1"/>
    <xf numFmtId="0" fontId="41" fillId="0" borderId="0" xfId="0" applyFont="1" applyBorder="1"/>
    <xf numFmtId="0" fontId="41" fillId="2" borderId="0" xfId="0" applyFont="1" applyFill="1"/>
    <xf numFmtId="0" fontId="43" fillId="0" borderId="0" xfId="0" applyFont="1"/>
    <xf numFmtId="164" fontId="7" fillId="0" borderId="6" xfId="0" applyNumberFormat="1" applyFont="1" applyBorder="1"/>
    <xf numFmtId="164" fontId="7" fillId="0" borderId="6" xfId="0" applyNumberFormat="1" applyFont="1" applyBorder="1" applyAlignment="1"/>
    <xf numFmtId="164" fontId="8" fillId="3" borderId="18" xfId="0" applyNumberFormat="1" applyFont="1" applyFill="1" applyBorder="1"/>
    <xf numFmtId="164" fontId="8" fillId="3" borderId="8" xfId="0" applyNumberFormat="1" applyFont="1" applyFill="1" applyBorder="1"/>
    <xf numFmtId="164" fontId="8" fillId="3" borderId="10" xfId="0" applyNumberFormat="1" applyFont="1" applyFill="1" applyBorder="1"/>
    <xf numFmtId="0" fontId="8" fillId="0" borderId="20" xfId="0" applyFont="1" applyFill="1" applyBorder="1" applyAlignment="1">
      <alignment horizontal="center"/>
    </xf>
    <xf numFmtId="164" fontId="7" fillId="0" borderId="1" xfId="0" applyNumberFormat="1" applyFont="1" applyFill="1" applyBorder="1"/>
    <xf numFmtId="164" fontId="7" fillId="0" borderId="6" xfId="0" applyNumberFormat="1" applyFont="1" applyFill="1" applyBorder="1"/>
    <xf numFmtId="164" fontId="8" fillId="0" borderId="0" xfId="0" applyNumberFormat="1" applyFont="1" applyBorder="1"/>
    <xf numFmtId="0" fontId="8" fillId="0" borderId="16"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9" xfId="0" applyFont="1" applyFill="1" applyBorder="1" applyAlignment="1">
      <alignment horizontal="center"/>
    </xf>
    <xf numFmtId="0" fontId="37" fillId="0" borderId="0" xfId="0" applyFont="1" applyAlignment="1">
      <alignment vertical="center"/>
    </xf>
    <xf numFmtId="49" fontId="0" fillId="0" borderId="0" xfId="0" applyNumberFormat="1" applyAlignment="1">
      <alignment horizontal="center"/>
    </xf>
    <xf numFmtId="0" fontId="8" fillId="3" borderId="17" xfId="0" applyFont="1" applyFill="1" applyBorder="1" applyAlignment="1"/>
    <xf numFmtId="0" fontId="8" fillId="3" borderId="35" xfId="0" applyFont="1" applyFill="1" applyBorder="1" applyAlignment="1"/>
    <xf numFmtId="14" fontId="19" fillId="2" borderId="6" xfId="0" applyNumberFormat="1"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14" fontId="10" fillId="0" borderId="6" xfId="0" applyNumberFormat="1" applyFont="1" applyBorder="1" applyAlignment="1" applyProtection="1">
      <alignment horizontal="center" vertical="center"/>
      <protection locked="0"/>
    </xf>
    <xf numFmtId="165" fontId="10" fillId="0" borderId="32" xfId="0" applyNumberFormat="1" applyFont="1" applyBorder="1" applyAlignment="1" applyProtection="1">
      <alignment horizontal="center" vertical="center"/>
      <protection locked="0"/>
    </xf>
    <xf numFmtId="14" fontId="10" fillId="0" borderId="24" xfId="0" applyNumberFormat="1" applyFont="1" applyBorder="1" applyAlignment="1" applyProtection="1">
      <alignment horizontal="center" vertical="center"/>
      <protection locked="0"/>
    </xf>
    <xf numFmtId="0" fontId="2" fillId="0" borderId="18" xfId="0" applyFont="1" applyBorder="1" applyAlignment="1">
      <alignment horizontal="right"/>
    </xf>
    <xf numFmtId="164" fontId="8" fillId="0" borderId="18" xfId="0" applyNumberFormat="1" applyFont="1" applyFill="1" applyBorder="1" applyProtection="1">
      <protection locked="0"/>
    </xf>
    <xf numFmtId="0" fontId="0" fillId="0" borderId="6" xfId="0" applyBorder="1"/>
    <xf numFmtId="0" fontId="0" fillId="0" borderId="7" xfId="0" applyBorder="1"/>
    <xf numFmtId="0" fontId="0" fillId="0" borderId="1" xfId="0" applyBorder="1"/>
    <xf numFmtId="0" fontId="0" fillId="0" borderId="6" xfId="0" applyBorder="1" applyAlignment="1">
      <alignment wrapText="1"/>
    </xf>
    <xf numFmtId="0" fontId="0" fillId="0" borderId="24" xfId="0" applyBorder="1" applyAlignment="1">
      <alignment vertical="center"/>
    </xf>
    <xf numFmtId="0" fontId="0" fillId="0" borderId="28" xfId="0" applyBorder="1" applyAlignment="1">
      <alignment vertical="center"/>
    </xf>
    <xf numFmtId="0" fontId="0" fillId="6" borderId="6" xfId="0" applyFill="1" applyBorder="1" applyAlignment="1">
      <alignment horizontal="center" vertical="center"/>
    </xf>
    <xf numFmtId="0" fontId="0" fillId="7" borderId="34" xfId="0" applyFill="1" applyBorder="1" applyAlignment="1">
      <alignment horizontal="center" vertical="center"/>
    </xf>
    <xf numFmtId="0" fontId="0" fillId="0" borderId="7" xfId="0" applyBorder="1" applyAlignment="1">
      <alignment vertical="center"/>
    </xf>
    <xf numFmtId="0" fontId="0" fillId="2" borderId="20" xfId="0" applyFill="1" applyBorder="1"/>
    <xf numFmtId="0" fontId="0" fillId="2" borderId="1" xfId="0" applyFill="1" applyBorder="1"/>
    <xf numFmtId="0" fontId="0" fillId="8" borderId="34" xfId="0" applyFill="1" applyBorder="1" applyAlignment="1">
      <alignment horizontal="center" vertical="center"/>
    </xf>
    <xf numFmtId="0" fontId="0" fillId="9" borderId="34" xfId="0" applyFill="1" applyBorder="1" applyAlignment="1">
      <alignment horizontal="center" vertical="center"/>
    </xf>
    <xf numFmtId="0" fontId="0" fillId="10" borderId="34" xfId="0" applyFill="1" applyBorder="1" applyAlignment="1">
      <alignment horizontal="center" vertical="center"/>
    </xf>
    <xf numFmtId="0" fontId="0" fillId="11" borderId="34" xfId="0" applyFill="1" applyBorder="1" applyAlignment="1">
      <alignment horizontal="center" vertical="center"/>
    </xf>
    <xf numFmtId="0" fontId="0" fillId="10" borderId="6" xfId="0" applyFill="1" applyBorder="1" applyAlignment="1">
      <alignment vertical="center"/>
    </xf>
    <xf numFmtId="0" fontId="0" fillId="11" borderId="0" xfId="0" applyFill="1"/>
    <xf numFmtId="0" fontId="3" fillId="11" borderId="6" xfId="0" applyFont="1" applyFill="1" applyBorder="1" applyAlignment="1">
      <alignment vertical="center"/>
    </xf>
    <xf numFmtId="0" fontId="0" fillId="11" borderId="6" xfId="0" applyFill="1" applyBorder="1" applyAlignment="1">
      <alignment vertical="center"/>
    </xf>
    <xf numFmtId="0" fontId="8" fillId="0" borderId="0" xfId="0" applyFont="1"/>
    <xf numFmtId="0" fontId="8" fillId="11" borderId="0" xfId="0" applyFont="1" applyFill="1" applyAlignment="1">
      <alignment horizontal="center"/>
    </xf>
    <xf numFmtId="10" fontId="8" fillId="0" borderId="6" xfId="0" applyNumberFormat="1" applyFont="1" applyBorder="1"/>
    <xf numFmtId="0" fontId="8" fillId="0" borderId="6" xfId="0" applyFont="1" applyBorder="1" applyAlignment="1">
      <alignment vertical="center"/>
    </xf>
    <xf numFmtId="0" fontId="8" fillId="0" borderId="6" xfId="0" applyFont="1" applyBorder="1"/>
    <xf numFmtId="0" fontId="16" fillId="0" borderId="0" xfId="0" quotePrefix="1" applyFont="1" applyAlignment="1">
      <alignment horizontal="right" vertical="center"/>
    </xf>
    <xf numFmtId="0" fontId="6" fillId="7" borderId="6" xfId="0" applyFont="1" applyFill="1" applyBorder="1" applyAlignment="1">
      <alignment wrapText="1"/>
    </xf>
    <xf numFmtId="0" fontId="2" fillId="7" borderId="6" xfId="0" applyFont="1" applyFill="1" applyBorder="1" applyAlignment="1">
      <alignment vertical="center"/>
    </xf>
    <xf numFmtId="0" fontId="2" fillId="7" borderId="6" xfId="0" applyFont="1" applyFill="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Fill="1" applyBorder="1" applyAlignment="1">
      <alignment vertical="center" wrapText="1"/>
    </xf>
    <xf numFmtId="0" fontId="29" fillId="7" borderId="24" xfId="0" applyFont="1" applyFill="1" applyBorder="1" applyAlignment="1">
      <alignment vertical="center"/>
    </xf>
    <xf numFmtId="166" fontId="29" fillId="0" borderId="24" xfId="0" applyNumberFormat="1" applyFont="1" applyBorder="1"/>
    <xf numFmtId="0" fontId="29" fillId="0" borderId="24" xfId="0" applyFont="1" applyBorder="1"/>
    <xf numFmtId="0" fontId="29" fillId="2" borderId="24" xfId="0" applyFont="1" applyFill="1" applyBorder="1" applyAlignment="1">
      <alignment vertical="center" wrapText="1"/>
    </xf>
    <xf numFmtId="0" fontId="29" fillId="0" borderId="24" xfId="0" applyFont="1" applyBorder="1" applyAlignment="1">
      <alignment vertical="center"/>
    </xf>
    <xf numFmtId="0" fontId="29" fillId="0" borderId="24" xfId="0" applyFont="1" applyFill="1" applyBorder="1" applyAlignment="1">
      <alignment vertical="center"/>
    </xf>
    <xf numFmtId="49" fontId="29" fillId="0" borderId="24" xfId="0" applyNumberFormat="1" applyFont="1" applyBorder="1" applyAlignment="1">
      <alignment vertical="center"/>
    </xf>
    <xf numFmtId="0" fontId="2" fillId="2" borderId="6" xfId="0" applyFont="1" applyFill="1" applyBorder="1" applyAlignment="1">
      <alignment vertical="center" wrapText="1"/>
    </xf>
    <xf numFmtId="14" fontId="29" fillId="2" borderId="24" xfId="0" applyNumberFormat="1" applyFont="1" applyFill="1" applyBorder="1" applyAlignment="1">
      <alignment vertical="center"/>
    </xf>
    <xf numFmtId="166" fontId="31" fillId="2" borderId="24" xfId="0" applyNumberFormat="1" applyFont="1" applyFill="1" applyBorder="1" applyAlignment="1">
      <alignment vertical="center"/>
    </xf>
    <xf numFmtId="0" fontId="0" fillId="7" borderId="0" xfId="0" applyFill="1" applyAlignment="1">
      <alignment wrapText="1"/>
    </xf>
    <xf numFmtId="0" fontId="16" fillId="7" borderId="0" xfId="0" applyFont="1" applyFill="1"/>
    <xf numFmtId="0" fontId="2" fillId="12" borderId="6" xfId="0" applyFont="1" applyFill="1" applyBorder="1" applyAlignment="1">
      <alignment horizontal="center" wrapText="1"/>
    </xf>
    <xf numFmtId="0" fontId="29" fillId="12" borderId="6" xfId="0" applyFont="1" applyFill="1" applyBorder="1" applyAlignment="1">
      <alignment horizontal="center" wrapText="1"/>
    </xf>
    <xf numFmtId="0" fontId="14" fillId="12" borderId="0" xfId="0" applyFont="1" applyFill="1" applyAlignment="1">
      <alignment wrapText="1"/>
    </xf>
    <xf numFmtId="0" fontId="31" fillId="0" borderId="0" xfId="0" applyFont="1" applyAlignment="1">
      <alignment wrapText="1"/>
    </xf>
    <xf numFmtId="0" fontId="31" fillId="7" borderId="0" xfId="0" applyFont="1" applyFill="1" applyAlignment="1">
      <alignment wrapText="1"/>
    </xf>
    <xf numFmtId="0" fontId="29" fillId="0" borderId="0" xfId="0" applyFont="1" applyAlignment="1">
      <alignment wrapText="1"/>
    </xf>
    <xf numFmtId="0" fontId="29" fillId="7" borderId="0" xfId="0" applyFont="1" applyFill="1" applyAlignment="1">
      <alignment wrapText="1"/>
    </xf>
    <xf numFmtId="0" fontId="29" fillId="0" borderId="6" xfId="0" applyFont="1" applyBorder="1" applyAlignment="1">
      <alignment wrapText="1"/>
    </xf>
    <xf numFmtId="0" fontId="8" fillId="0" borderId="9" xfId="0" applyFont="1" applyBorder="1" applyAlignment="1">
      <alignment horizontal="left" wrapText="1"/>
    </xf>
    <xf numFmtId="0" fontId="8" fillId="0" borderId="6" xfId="0" applyFont="1" applyBorder="1" applyAlignment="1">
      <alignment wrapText="1"/>
    </xf>
    <xf numFmtId="0" fontId="6" fillId="5" borderId="6" xfId="0" applyFont="1" applyFill="1" applyBorder="1" applyAlignment="1">
      <alignment horizontal="right" wrapText="1"/>
    </xf>
    <xf numFmtId="0" fontId="8" fillId="2" borderId="6" xfId="0" applyFont="1" applyFill="1" applyBorder="1" applyAlignment="1">
      <alignment wrapText="1"/>
    </xf>
    <xf numFmtId="0" fontId="31" fillId="0" borderId="24" xfId="0" applyFont="1" applyBorder="1" applyAlignment="1">
      <alignment vertical="center" wrapText="1"/>
    </xf>
    <xf numFmtId="0" fontId="31" fillId="0" borderId="24" xfId="0" applyFont="1" applyBorder="1" applyAlignment="1">
      <alignment wrapText="1"/>
    </xf>
    <xf numFmtId="0" fontId="2" fillId="0" borderId="6" xfId="0" applyFont="1" applyBorder="1"/>
    <xf numFmtId="0" fontId="16" fillId="0" borderId="0" xfId="0" applyFont="1" applyBorder="1" applyAlignment="1" applyProtection="1">
      <alignment horizontal="left" vertical="top" wrapText="1"/>
      <protection locked="0"/>
    </xf>
    <xf numFmtId="166" fontId="29" fillId="0" borderId="0" xfId="0" applyNumberFormat="1" applyFont="1" applyBorder="1"/>
    <xf numFmtId="0" fontId="29" fillId="0" borderId="0" xfId="0" applyFont="1" applyBorder="1" applyAlignment="1">
      <alignment vertical="center"/>
    </xf>
    <xf numFmtId="166" fontId="29" fillId="0" borderId="0" xfId="0" applyNumberFormat="1" applyFont="1" applyBorder="1" applyAlignment="1">
      <alignment vertical="center"/>
    </xf>
    <xf numFmtId="0" fontId="51" fillId="2" borderId="0" xfId="0" applyNumberFormat="1" applyFont="1" applyFill="1" applyBorder="1" applyAlignment="1">
      <alignment vertical="center"/>
    </xf>
    <xf numFmtId="14" fontId="29" fillId="2" borderId="0" xfId="0" applyNumberFormat="1" applyFont="1" applyFill="1" applyBorder="1" applyAlignment="1">
      <alignment vertical="center"/>
    </xf>
    <xf numFmtId="0" fontId="29" fillId="0" borderId="0" xfId="0" applyFont="1" applyFill="1" applyBorder="1" applyAlignment="1">
      <alignment vertical="center"/>
    </xf>
    <xf numFmtId="49" fontId="29" fillId="0" borderId="0" xfId="0" applyNumberFormat="1" applyFont="1" applyBorder="1" applyAlignment="1">
      <alignment vertical="center"/>
    </xf>
    <xf numFmtId="0" fontId="0" fillId="0" borderId="0" xfId="0" applyBorder="1" applyAlignment="1">
      <alignment wrapText="1"/>
    </xf>
    <xf numFmtId="0" fontId="3" fillId="0" borderId="7" xfId="0" applyFont="1" applyBorder="1" applyAlignment="1">
      <alignment horizontal="right"/>
    </xf>
    <xf numFmtId="0" fontId="29" fillId="7" borderId="0" xfId="0" applyFont="1" applyFill="1" applyBorder="1" applyAlignment="1">
      <alignment vertical="center"/>
    </xf>
    <xf numFmtId="0" fontId="54" fillId="0" borderId="0" xfId="0" applyFont="1" applyAlignment="1">
      <alignment vertical="center"/>
    </xf>
    <xf numFmtId="0" fontId="19" fillId="2" borderId="6" xfId="3" applyNumberFormat="1" applyFont="1" applyFill="1" applyBorder="1" applyAlignment="1" applyProtection="1">
      <alignment horizontal="center" vertical="center" wrapText="1"/>
      <protection locked="0"/>
    </xf>
    <xf numFmtId="14" fontId="19" fillId="0" borderId="28" xfId="0" applyNumberFormat="1" applyFont="1" applyFill="1" applyBorder="1" applyAlignment="1">
      <alignment horizontal="center" vertical="top" wrapText="1"/>
    </xf>
    <xf numFmtId="0" fontId="2" fillId="0" borderId="0" xfId="0" applyFont="1"/>
    <xf numFmtId="10" fontId="10" fillId="3" borderId="6" xfId="0" applyNumberFormat="1" applyFont="1" applyFill="1" applyBorder="1" applyAlignment="1">
      <alignment horizontal="center" vertical="center"/>
    </xf>
    <xf numFmtId="0" fontId="2" fillId="0" borderId="20" xfId="0" applyFont="1" applyFill="1" applyBorder="1" applyAlignment="1">
      <alignment wrapText="1"/>
    </xf>
    <xf numFmtId="0" fontId="2" fillId="0" borderId="1" xfId="0" applyFont="1" applyFill="1" applyBorder="1" applyAlignment="1">
      <alignment wrapText="1"/>
    </xf>
    <xf numFmtId="0" fontId="57" fillId="7" borderId="33" xfId="0" applyFont="1" applyFill="1" applyBorder="1" applyAlignment="1">
      <alignment vertical="center"/>
    </xf>
    <xf numFmtId="0" fontId="57"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16" fillId="0" borderId="6" xfId="0" applyFont="1" applyBorder="1" applyAlignment="1">
      <alignment horizontal="center" vertical="center"/>
    </xf>
    <xf numFmtId="0" fontId="56" fillId="0" borderId="28" xfId="0" applyFont="1" applyBorder="1" applyAlignment="1">
      <alignment horizontal="center" vertical="center"/>
    </xf>
    <xf numFmtId="5" fontId="19" fillId="2" borderId="6" xfId="2" applyNumberFormat="1" applyFont="1" applyFill="1" applyBorder="1" applyAlignment="1" applyProtection="1">
      <alignment horizontal="center" vertical="center" wrapText="1"/>
      <protection locked="0"/>
    </xf>
    <xf numFmtId="0" fontId="0" fillId="4" borderId="6" xfId="0" applyFill="1"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56" fillId="0" borderId="0" xfId="0" applyFont="1" applyBorder="1" applyAlignment="1">
      <alignment horizontal="center" vertical="center"/>
    </xf>
    <xf numFmtId="0" fontId="49" fillId="13" borderId="0" xfId="0" applyFont="1" applyFill="1" applyBorder="1" applyAlignment="1">
      <alignment horizontal="center"/>
    </xf>
    <xf numFmtId="0" fontId="0" fillId="0" borderId="28" xfId="0" applyFill="1" applyBorder="1" applyAlignment="1">
      <alignment vertical="center"/>
    </xf>
    <xf numFmtId="0" fontId="19" fillId="0" borderId="33" xfId="0" applyFont="1" applyBorder="1" applyAlignment="1">
      <alignment vertical="center"/>
    </xf>
    <xf numFmtId="0" fontId="19" fillId="0" borderId="24" xfId="0" applyFont="1" applyBorder="1" applyAlignment="1">
      <alignment vertical="center"/>
    </xf>
    <xf numFmtId="0" fontId="16" fillId="0" borderId="40" xfId="0" applyFont="1" applyBorder="1" applyAlignment="1">
      <alignment vertical="center"/>
    </xf>
    <xf numFmtId="0" fontId="16" fillId="0" borderId="24" xfId="0" applyFont="1" applyBorder="1" applyAlignment="1">
      <alignment vertical="center"/>
    </xf>
    <xf numFmtId="0" fontId="0" fillId="0" borderId="33" xfId="0" applyBorder="1" applyAlignment="1">
      <alignment vertical="center"/>
    </xf>
    <xf numFmtId="0" fontId="0" fillId="11" borderId="6" xfId="0" applyFill="1" applyBorder="1" applyAlignment="1">
      <alignment vertical="center" wrapText="1"/>
    </xf>
    <xf numFmtId="0" fontId="3" fillId="12" borderId="6" xfId="0" applyFont="1" applyFill="1" applyBorder="1" applyAlignment="1">
      <alignment horizontal="center" vertical="center"/>
    </xf>
    <xf numFmtId="0" fontId="3" fillId="4" borderId="6" xfId="0" applyFont="1" applyFill="1" applyBorder="1" applyAlignment="1">
      <alignment horizontal="center" vertical="center"/>
    </xf>
    <xf numFmtId="0" fontId="0" fillId="4" borderId="6" xfId="0" applyFill="1" applyBorder="1" applyAlignment="1">
      <alignment horizontal="center" vertical="center"/>
    </xf>
    <xf numFmtId="0" fontId="2" fillId="12" borderId="6" xfId="0" applyFont="1" applyFill="1" applyBorder="1" applyAlignment="1">
      <alignment horizontal="center" vertical="center"/>
    </xf>
    <xf numFmtId="0" fontId="39" fillId="0" borderId="0" xfId="3" applyFont="1" applyAlignment="1" applyProtection="1">
      <alignment horizontal="left" vertical="center"/>
      <protection locked="0"/>
    </xf>
    <xf numFmtId="0" fontId="11" fillId="0" borderId="0" xfId="0" applyFont="1" applyAlignment="1" applyProtection="1">
      <alignment vertical="center" wrapText="1"/>
      <protection locked="0"/>
    </xf>
    <xf numFmtId="0" fontId="46"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3" fillId="0" borderId="28" xfId="0" applyFont="1" applyFill="1" applyBorder="1" applyAlignment="1">
      <alignment horizontal="left" vertical="center" wrapText="1"/>
    </xf>
    <xf numFmtId="0" fontId="3" fillId="0" borderId="19" xfId="0" applyFont="1" applyFill="1" applyBorder="1" applyAlignment="1">
      <alignment horizontal="left" vertical="center" wrapText="1"/>
    </xf>
    <xf numFmtId="10" fontId="14" fillId="0" borderId="24" xfId="0" applyNumberFormat="1" applyFont="1" applyBorder="1" applyAlignment="1">
      <alignment horizontal="right" vertical="center" wrapText="1"/>
    </xf>
    <xf numFmtId="0" fontId="3" fillId="0" borderId="6" xfId="0" applyFont="1" applyBorder="1" applyAlignment="1">
      <alignment wrapText="1"/>
    </xf>
    <xf numFmtId="0" fontId="0" fillId="0" borderId="6" xfId="0" applyBorder="1" applyAlignment="1">
      <alignment horizontal="center"/>
    </xf>
    <xf numFmtId="0" fontId="3" fillId="4" borderId="6" xfId="0" applyFont="1" applyFill="1" applyBorder="1" applyAlignment="1">
      <alignment wrapText="1"/>
    </xf>
    <xf numFmtId="0" fontId="32" fillId="3" borderId="6" xfId="0" applyFont="1" applyFill="1" applyBorder="1" applyAlignment="1">
      <alignment horizontal="center"/>
    </xf>
    <xf numFmtId="0" fontId="3" fillId="3" borderId="11" xfId="0" applyFont="1" applyFill="1" applyBorder="1" applyAlignment="1">
      <alignment horizontal="center"/>
    </xf>
    <xf numFmtId="0" fontId="0" fillId="14" borderId="9" xfId="0" applyFill="1" applyBorder="1" applyAlignment="1">
      <alignment horizontal="center"/>
    </xf>
    <xf numFmtId="0" fontId="24" fillId="14" borderId="0" xfId="0" applyFont="1" applyFill="1" applyBorder="1" applyAlignment="1">
      <alignment horizontal="center" wrapText="1"/>
    </xf>
    <xf numFmtId="164" fontId="7" fillId="14" borderId="9" xfId="0" applyNumberFormat="1" applyFont="1" applyFill="1" applyBorder="1"/>
    <xf numFmtId="0" fontId="27" fillId="15" borderId="42" xfId="0" applyFont="1" applyFill="1" applyBorder="1" applyAlignment="1">
      <alignment horizontal="left" vertical="center"/>
    </xf>
    <xf numFmtId="0" fontId="28" fillId="15" borderId="43" xfId="0" applyFont="1" applyFill="1" applyBorder="1" applyAlignment="1">
      <alignment horizontal="center" vertical="center" wrapText="1"/>
    </xf>
    <xf numFmtId="0" fontId="22" fillId="2" borderId="42" xfId="0" applyFont="1" applyFill="1" applyBorder="1" applyAlignment="1">
      <alignment horizontal="left" vertical="center"/>
    </xf>
    <xf numFmtId="0" fontId="0" fillId="2" borderId="43" xfId="0" applyFill="1" applyBorder="1" applyAlignment="1">
      <alignment vertical="center"/>
    </xf>
    <xf numFmtId="0" fontId="2" fillId="0" borderId="0" xfId="0" applyFont="1" applyAlignment="1">
      <alignment vertical="center"/>
    </xf>
    <xf numFmtId="0" fontId="55" fillId="0" borderId="0" xfId="0" applyFont="1" applyAlignment="1">
      <alignment horizontal="center" vertical="center" wrapText="1"/>
    </xf>
    <xf numFmtId="0" fontId="2" fillId="3" borderId="9" xfId="0" applyFont="1" applyFill="1" applyBorder="1" applyAlignment="1">
      <alignment horizontal="center" wrapText="1"/>
    </xf>
    <xf numFmtId="0" fontId="0" fillId="2" borderId="24" xfId="0" applyFill="1" applyBorder="1" applyAlignment="1">
      <alignment horizontal="center" vertical="center"/>
    </xf>
    <xf numFmtId="0" fontId="19" fillId="2" borderId="24" xfId="0" applyFont="1" applyFill="1" applyBorder="1" applyAlignment="1" applyProtection="1">
      <alignment horizontal="center" vertical="center" wrapText="1"/>
      <protection locked="0"/>
    </xf>
    <xf numFmtId="0" fontId="6" fillId="3" borderId="0" xfId="0" applyFont="1" applyFill="1" applyAlignment="1">
      <alignment horizontal="right"/>
    </xf>
    <xf numFmtId="0" fontId="2" fillId="0" borderId="1" xfId="0" applyFont="1" applyBorder="1" applyAlignment="1">
      <alignment vertical="center"/>
    </xf>
    <xf numFmtId="0" fontId="16" fillId="2" borderId="0" xfId="0" applyFont="1" applyFill="1" applyAlignment="1">
      <alignment horizontal="left" vertical="top" wrapText="1"/>
    </xf>
    <xf numFmtId="1" fontId="8" fillId="0" borderId="6" xfId="0" applyNumberFormat="1" applyFont="1" applyBorder="1"/>
    <xf numFmtId="0" fontId="8" fillId="0" borderId="6" xfId="0" applyFont="1" applyFill="1" applyBorder="1" applyAlignment="1">
      <alignment wrapText="1"/>
    </xf>
    <xf numFmtId="0" fontId="0" fillId="3" borderId="8" xfId="0" applyFill="1" applyBorder="1" applyAlignment="1">
      <alignment horizontal="center"/>
    </xf>
    <xf numFmtId="164" fontId="24" fillId="0" borderId="6" xfId="0" applyNumberFormat="1" applyFont="1" applyBorder="1"/>
    <xf numFmtId="0" fontId="0" fillId="3" borderId="16" xfId="0" applyFill="1" applyBorder="1" applyAlignment="1">
      <alignment horizontal="center"/>
    </xf>
    <xf numFmtId="0" fontId="19" fillId="2" borderId="6" xfId="0" applyFont="1" applyFill="1" applyBorder="1" applyAlignment="1" applyProtection="1">
      <alignment horizontal="center" vertical="center" wrapText="1"/>
    </xf>
    <xf numFmtId="0" fontId="0" fillId="0" borderId="6" xfId="0" applyBorder="1" applyProtection="1">
      <protection locked="0"/>
    </xf>
    <xf numFmtId="165" fontId="0" fillId="0" borderId="6" xfId="0" applyNumberFormat="1" applyBorder="1" applyProtection="1">
      <protection locked="0"/>
    </xf>
    <xf numFmtId="10" fontId="0" fillId="0" borderId="6" xfId="0" applyNumberFormat="1" applyBorder="1" applyProtection="1">
      <protection locked="0"/>
    </xf>
    <xf numFmtId="14" fontId="0" fillId="0" borderId="6" xfId="0" applyNumberFormat="1" applyBorder="1" applyProtection="1">
      <protection locked="0"/>
    </xf>
    <xf numFmtId="0" fontId="34" fillId="0" borderId="6" xfId="0" applyFont="1" applyBorder="1" applyProtection="1">
      <protection locked="0"/>
    </xf>
    <xf numFmtId="0" fontId="2" fillId="0" borderId="6" xfId="0" applyFont="1" applyBorder="1" applyProtection="1">
      <protection locked="0"/>
    </xf>
    <xf numFmtId="0" fontId="3" fillId="10" borderId="40" xfId="0" applyFont="1" applyFill="1" applyBorder="1" applyAlignment="1">
      <alignment vertical="center"/>
    </xf>
    <xf numFmtId="0" fontId="0" fillId="0" borderId="0" xfId="0" applyProtection="1"/>
    <xf numFmtId="0" fontId="0" fillId="3" borderId="0" xfId="0" applyFill="1" applyAlignment="1">
      <alignment vertical="center"/>
    </xf>
    <xf numFmtId="0" fontId="2" fillId="2" borderId="24" xfId="0" applyFont="1" applyFill="1" applyBorder="1" applyAlignment="1">
      <alignment horizontal="center" vertical="center"/>
    </xf>
    <xf numFmtId="0" fontId="0" fillId="3" borderId="0" xfId="0" applyFill="1" applyBorder="1" applyAlignment="1">
      <alignment horizontal="center" vertical="center"/>
    </xf>
    <xf numFmtId="0" fontId="0" fillId="4" borderId="33" xfId="0" applyFill="1" applyBorder="1" applyAlignment="1">
      <alignment horizontal="center" vertical="center"/>
    </xf>
    <xf numFmtId="0" fontId="0" fillId="6" borderId="24" xfId="0" applyFill="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16" fillId="2" borderId="6" xfId="0" applyFont="1" applyFill="1" applyBorder="1" applyAlignment="1" applyProtection="1">
      <alignment horizontal="center" vertical="center" wrapText="1"/>
      <protection locked="0"/>
    </xf>
    <xf numFmtId="0" fontId="16" fillId="17" borderId="24" xfId="0" applyFont="1" applyFill="1" applyBorder="1" applyAlignment="1" applyProtection="1">
      <alignment horizontal="center" vertical="center" wrapText="1"/>
      <protection locked="0"/>
    </xf>
    <xf numFmtId="0" fontId="16" fillId="17" borderId="6"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6" fillId="0" borderId="0" xfId="0" applyFont="1" applyFill="1" applyBorder="1" applyAlignment="1">
      <alignment horizontal="left" vertical="center" indent="1"/>
    </xf>
    <xf numFmtId="0" fontId="17" fillId="0" borderId="0" xfId="0" applyFont="1" applyBorder="1" applyAlignment="1">
      <alignment vertical="center"/>
    </xf>
    <xf numFmtId="0" fontId="8" fillId="18" borderId="45" xfId="0" applyFont="1" applyFill="1" applyBorder="1" applyAlignment="1">
      <alignment horizontal="right" vertical="center" wrapText="1"/>
    </xf>
    <xf numFmtId="0" fontId="17" fillId="18" borderId="45" xfId="0" applyFont="1" applyFill="1" applyBorder="1" applyAlignment="1">
      <alignment horizontal="left" vertical="center"/>
    </xf>
    <xf numFmtId="0" fontId="0" fillId="18" borderId="45" xfId="0" applyFill="1" applyBorder="1" applyAlignment="1">
      <alignment vertical="center"/>
    </xf>
    <xf numFmtId="0" fontId="17" fillId="18" borderId="46" xfId="0" applyFont="1" applyFill="1" applyBorder="1" applyAlignment="1">
      <alignment vertical="center" wrapText="1"/>
    </xf>
    <xf numFmtId="0" fontId="17" fillId="0" borderId="30" xfId="0" applyFont="1" applyBorder="1" applyAlignment="1">
      <alignment vertical="center" wrapText="1"/>
    </xf>
    <xf numFmtId="0" fontId="0" fillId="18" borderId="47" xfId="0" applyFill="1" applyBorder="1" applyAlignment="1">
      <alignment horizontal="center" vertical="center"/>
    </xf>
    <xf numFmtId="0" fontId="3" fillId="6" borderId="47" xfId="0" applyFont="1" applyFill="1" applyBorder="1" applyAlignment="1">
      <alignment horizontal="center" vertical="center"/>
    </xf>
    <xf numFmtId="0" fontId="0" fillId="19" borderId="6" xfId="0" applyFill="1" applyBorder="1" applyAlignment="1">
      <alignment horizontal="center" vertical="center"/>
    </xf>
    <xf numFmtId="0" fontId="17" fillId="19" borderId="27" xfId="0" applyFont="1" applyFill="1" applyBorder="1" applyAlignment="1">
      <alignment vertical="center" wrapText="1"/>
    </xf>
    <xf numFmtId="0" fontId="14" fillId="18" borderId="45" xfId="0" applyFont="1" applyFill="1" applyBorder="1" applyAlignment="1">
      <alignment horizontal="left" vertical="center" indent="3"/>
    </xf>
    <xf numFmtId="0" fontId="62" fillId="17" borderId="4" xfId="0" applyFont="1" applyFill="1" applyBorder="1" applyAlignment="1">
      <alignment horizontal="center" vertical="center" textRotation="90" wrapText="1"/>
    </xf>
    <xf numFmtId="0" fontId="8" fillId="17" borderId="26" xfId="0" applyFont="1" applyFill="1" applyBorder="1" applyAlignment="1">
      <alignment horizontal="right" vertical="center" wrapText="1"/>
    </xf>
    <xf numFmtId="0" fontId="8" fillId="17" borderId="0" xfId="0" applyFont="1" applyFill="1" applyBorder="1" applyAlignment="1">
      <alignment horizontal="right" vertical="center" wrapText="1"/>
    </xf>
    <xf numFmtId="0" fontId="8" fillId="17" borderId="4" xfId="0" applyFont="1" applyFill="1" applyBorder="1" applyAlignment="1">
      <alignment horizontal="right" vertical="center" wrapText="1"/>
    </xf>
    <xf numFmtId="0" fontId="17" fillId="19" borderId="0" xfId="0" applyFont="1" applyFill="1" applyAlignment="1">
      <alignment vertical="center" wrapText="1"/>
    </xf>
    <xf numFmtId="0" fontId="16" fillId="17" borderId="20" xfId="0" applyFont="1" applyFill="1" applyBorder="1" applyAlignment="1" applyProtection="1">
      <alignment horizontal="center" vertical="center" wrapText="1"/>
      <protection locked="0"/>
    </xf>
    <xf numFmtId="0" fontId="16" fillId="17" borderId="28"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0" fontId="0" fillId="0" borderId="0" xfId="0" applyFill="1" applyBorder="1" applyAlignment="1">
      <alignment horizontal="left" vertical="center"/>
    </xf>
    <xf numFmtId="0" fontId="30" fillId="0" borderId="39" xfId="0" applyFont="1" applyFill="1" applyBorder="1" applyAlignment="1">
      <alignment horizontal="left" vertical="center"/>
    </xf>
    <xf numFmtId="49" fontId="30" fillId="0" borderId="0" xfId="0" applyNumberFormat="1" applyFont="1" applyFill="1" applyBorder="1" applyAlignment="1">
      <alignment horizontal="left" vertical="center"/>
    </xf>
    <xf numFmtId="0" fontId="19" fillId="18" borderId="20" xfId="0" applyFont="1" applyFill="1" applyBorder="1" applyAlignment="1" applyProtection="1">
      <alignment horizontal="left" vertical="center"/>
    </xf>
    <xf numFmtId="0" fontId="19" fillId="18" borderId="20" xfId="0" applyFont="1" applyFill="1" applyBorder="1" applyAlignment="1" applyProtection="1">
      <alignment horizontal="left" vertical="center" wrapText="1"/>
    </xf>
    <xf numFmtId="0" fontId="19" fillId="18" borderId="1" xfId="0" applyFont="1" applyFill="1" applyBorder="1" applyAlignment="1" applyProtection="1">
      <alignment horizontal="left" vertical="center" wrapText="1"/>
    </xf>
    <xf numFmtId="0" fontId="0" fillId="2" borderId="6" xfId="0" applyFill="1" applyBorder="1" applyAlignment="1" applyProtection="1">
      <alignment horizontal="center" vertical="center"/>
    </xf>
    <xf numFmtId="0" fontId="8" fillId="2" borderId="6" xfId="0" applyFont="1" applyFill="1" applyBorder="1" applyAlignment="1" applyProtection="1">
      <alignment horizontal="center" vertical="top" wrapText="1"/>
    </xf>
    <xf numFmtId="0" fontId="16" fillId="20" borderId="31" xfId="0" applyFont="1" applyFill="1" applyBorder="1" applyAlignment="1" applyProtection="1">
      <alignment vertical="center" wrapText="1"/>
    </xf>
    <xf numFmtId="0" fontId="0" fillId="2" borderId="32" xfId="0" applyFill="1" applyBorder="1" applyAlignment="1" applyProtection="1">
      <alignment horizontal="center" vertical="center"/>
    </xf>
    <xf numFmtId="0" fontId="8" fillId="2" borderId="24" xfId="0" applyFont="1" applyFill="1" applyBorder="1" applyAlignment="1" applyProtection="1">
      <alignment horizontal="center" vertical="top" wrapText="1"/>
    </xf>
    <xf numFmtId="0" fontId="8" fillId="17" borderId="0" xfId="0" applyFont="1" applyFill="1" applyBorder="1" applyAlignment="1" applyProtection="1">
      <alignment horizontal="center" vertical="top" wrapText="1"/>
    </xf>
    <xf numFmtId="0" fontId="2" fillId="2" borderId="6" xfId="0" applyFont="1" applyFill="1" applyBorder="1" applyAlignment="1" applyProtection="1">
      <alignment horizontal="center" vertical="center"/>
    </xf>
    <xf numFmtId="0" fontId="10" fillId="0" borderId="7" xfId="0" applyFont="1" applyBorder="1" applyProtection="1"/>
    <xf numFmtId="0" fontId="0" fillId="0" borderId="20" xfId="0" applyBorder="1" applyProtection="1"/>
    <xf numFmtId="0" fontId="0" fillId="0" borderId="1" xfId="0" applyBorder="1" applyProtection="1"/>
    <xf numFmtId="0" fontId="23" fillId="2" borderId="6"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61" fillId="0" borderId="34" xfId="0" applyFont="1" applyBorder="1" applyProtection="1"/>
    <xf numFmtId="0" fontId="0" fillId="0" borderId="31" xfId="0" applyBorder="1" applyProtection="1"/>
    <xf numFmtId="0" fontId="0" fillId="0" borderId="23" xfId="0" applyBorder="1" applyProtection="1"/>
    <xf numFmtId="0" fontId="6" fillId="2" borderId="51" xfId="0" quotePrefix="1" applyFont="1" applyFill="1" applyBorder="1" applyAlignment="1" applyProtection="1">
      <alignment vertical="center"/>
    </xf>
    <xf numFmtId="0" fontId="0" fillId="0" borderId="52" xfId="0" applyBorder="1" applyProtection="1"/>
    <xf numFmtId="0" fontId="0" fillId="0" borderId="53" xfId="0" applyBorder="1" applyProtection="1"/>
    <xf numFmtId="0" fontId="71" fillId="19" borderId="7" xfId="0" applyFont="1" applyFill="1" applyBorder="1" applyAlignment="1" applyProtection="1">
      <alignment vertical="center"/>
    </xf>
    <xf numFmtId="0" fontId="0" fillId="19" borderId="0" xfId="0" applyFill="1" applyProtection="1"/>
    <xf numFmtId="0" fontId="14" fillId="19" borderId="20" xfId="0" applyFont="1" applyFill="1" applyBorder="1" applyAlignment="1" applyProtection="1">
      <alignment vertical="center"/>
    </xf>
    <xf numFmtId="0" fontId="14" fillId="19" borderId="28" xfId="0" applyFont="1" applyFill="1" applyBorder="1" applyAlignment="1" applyProtection="1">
      <alignment vertical="center"/>
    </xf>
    <xf numFmtId="0" fontId="14" fillId="19" borderId="19" xfId="0" applyFont="1" applyFill="1" applyBorder="1" applyAlignment="1" applyProtection="1">
      <alignment vertical="center"/>
    </xf>
    <xf numFmtId="0" fontId="0" fillId="19" borderId="0" xfId="0" applyFill="1" applyBorder="1" applyProtection="1"/>
    <xf numFmtId="0" fontId="0" fillId="19" borderId="23" xfId="0" applyFill="1" applyBorder="1" applyProtection="1"/>
    <xf numFmtId="0" fontId="10" fillId="17" borderId="7" xfId="0" applyFont="1" applyFill="1" applyBorder="1" applyAlignment="1" applyProtection="1">
      <alignment vertical="center"/>
    </xf>
    <xf numFmtId="0" fontId="10" fillId="17" borderId="32" xfId="0" applyFont="1" applyFill="1" applyBorder="1" applyAlignment="1" applyProtection="1">
      <alignment vertical="center"/>
    </xf>
    <xf numFmtId="0" fontId="0" fillId="0" borderId="28" xfId="0" applyBorder="1" applyProtection="1"/>
    <xf numFmtId="0" fontId="0" fillId="0" borderId="19" xfId="0" applyBorder="1" applyProtection="1"/>
    <xf numFmtId="0" fontId="6" fillId="18" borderId="7" xfId="0" applyFont="1" applyFill="1" applyBorder="1" applyAlignment="1" applyProtection="1">
      <alignment horizontal="left" vertical="center"/>
    </xf>
    <xf numFmtId="0" fontId="6" fillId="21" borderId="52" xfId="0" applyFont="1" applyFill="1" applyBorder="1" applyAlignment="1" applyProtection="1">
      <alignment vertical="center"/>
    </xf>
    <xf numFmtId="0" fontId="7" fillId="21" borderId="52" xfId="0" applyFont="1" applyFill="1" applyBorder="1" applyAlignment="1" applyProtection="1">
      <alignment vertical="center"/>
    </xf>
    <xf numFmtId="0" fontId="6" fillId="18" borderId="7" xfId="0" applyFont="1" applyFill="1" applyBorder="1" applyAlignment="1" applyProtection="1">
      <alignment vertical="center"/>
    </xf>
    <xf numFmtId="0" fontId="22" fillId="18" borderId="20" xfId="0" applyFont="1" applyFill="1" applyBorder="1" applyAlignment="1" applyProtection="1">
      <alignment vertical="center"/>
    </xf>
    <xf numFmtId="0" fontId="10" fillId="2" borderId="20" xfId="0" applyFont="1" applyFill="1" applyBorder="1" applyAlignment="1" applyProtection="1">
      <alignment vertical="center"/>
    </xf>
    <xf numFmtId="0" fontId="22" fillId="19" borderId="53" xfId="0" applyFont="1" applyFill="1" applyBorder="1" applyAlignment="1" applyProtection="1">
      <alignment horizontal="center" vertical="center" wrapText="1"/>
    </xf>
    <xf numFmtId="0" fontId="14" fillId="19" borderId="51" xfId="0" applyFont="1" applyFill="1" applyBorder="1" applyAlignment="1" applyProtection="1">
      <alignment vertical="center"/>
    </xf>
    <xf numFmtId="0" fontId="6" fillId="19" borderId="52" xfId="0" applyFont="1" applyFill="1" applyBorder="1" applyAlignment="1" applyProtection="1">
      <alignment vertical="center"/>
    </xf>
    <xf numFmtId="0" fontId="6" fillId="19" borderId="53" xfId="0" applyFont="1" applyFill="1" applyBorder="1" applyAlignment="1" applyProtection="1">
      <alignment vertical="center"/>
    </xf>
    <xf numFmtId="0" fontId="10" fillId="2" borderId="34" xfId="0" applyFont="1" applyFill="1" applyBorder="1" applyAlignment="1" applyProtection="1">
      <alignment vertical="center"/>
    </xf>
    <xf numFmtId="0" fontId="10" fillId="2" borderId="31" xfId="0" applyFont="1" applyFill="1" applyBorder="1" applyAlignment="1" applyProtection="1">
      <alignment vertical="center"/>
    </xf>
    <xf numFmtId="0" fontId="22" fillId="19" borderId="52"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19" fillId="21" borderId="53" xfId="0" applyFont="1" applyFill="1" applyBorder="1" applyAlignment="1" applyProtection="1">
      <alignment horizontal="center" vertical="center" wrapText="1"/>
    </xf>
    <xf numFmtId="0" fontId="6" fillId="21" borderId="51" xfId="0" applyFont="1" applyFill="1" applyBorder="1" applyAlignment="1" applyProtection="1">
      <alignment vertical="center"/>
    </xf>
    <xf numFmtId="0" fontId="7" fillId="21" borderId="53" xfId="0" applyFont="1" applyFill="1" applyBorder="1" applyAlignment="1" applyProtection="1">
      <alignment vertical="center"/>
    </xf>
    <xf numFmtId="0" fontId="0" fillId="0" borderId="58" xfId="0" applyBorder="1" applyProtection="1"/>
    <xf numFmtId="0" fontId="0" fillId="0" borderId="59" xfId="0" applyBorder="1" applyProtection="1"/>
    <xf numFmtId="0" fontId="14" fillId="0" borderId="51" xfId="0" applyFont="1" applyBorder="1" applyProtection="1"/>
    <xf numFmtId="0" fontId="0" fillId="0" borderId="7" xfId="0" applyBorder="1" applyAlignment="1">
      <alignment horizontal="right" vertical="center"/>
    </xf>
    <xf numFmtId="0" fontId="0" fillId="22" borderId="6" xfId="0" applyFill="1" applyBorder="1" applyAlignment="1">
      <alignment horizontal="center"/>
    </xf>
    <xf numFmtId="0" fontId="3" fillId="22" borderId="6" xfId="0" applyFont="1" applyFill="1" applyBorder="1" applyAlignment="1">
      <alignment horizontal="center"/>
    </xf>
    <xf numFmtId="0" fontId="50" fillId="5" borderId="6" xfId="0" applyFont="1" applyFill="1" applyBorder="1" applyAlignment="1">
      <alignment vertical="center"/>
    </xf>
    <xf numFmtId="0" fontId="0" fillId="23" borderId="6" xfId="0" applyFill="1" applyBorder="1" applyAlignment="1">
      <alignment horizontal="center" vertical="center"/>
    </xf>
    <xf numFmtId="0" fontId="3" fillId="23" borderId="6" xfId="0" applyFont="1" applyFill="1" applyBorder="1" applyAlignment="1">
      <alignment horizontal="center" vertical="center"/>
    </xf>
    <xf numFmtId="0" fontId="0" fillId="17" borderId="6" xfId="0" applyFill="1" applyBorder="1" applyAlignment="1">
      <alignment horizontal="center" vertical="center"/>
    </xf>
    <xf numFmtId="167" fontId="19" fillId="2" borderId="6" xfId="0" applyNumberFormat="1" applyFont="1" applyFill="1" applyBorder="1" applyAlignment="1" applyProtection="1">
      <alignment horizontal="center" vertical="center" wrapText="1"/>
      <protection locked="0"/>
    </xf>
    <xf numFmtId="0" fontId="68" fillId="17" borderId="0" xfId="0" applyFont="1" applyFill="1" applyAlignment="1">
      <alignment vertical="center" textRotation="90"/>
    </xf>
    <xf numFmtId="0" fontId="0" fillId="17" borderId="0" xfId="0" applyFill="1" applyProtection="1"/>
    <xf numFmtId="0" fontId="2" fillId="17" borderId="0" xfId="0" applyFont="1" applyFill="1" applyBorder="1" applyAlignment="1" applyProtection="1">
      <alignment horizontal="center" vertical="center"/>
    </xf>
    <xf numFmtId="0" fontId="19" fillId="17" borderId="0" xfId="0" applyFont="1" applyFill="1" applyBorder="1" applyAlignment="1" applyProtection="1">
      <alignment horizontal="center" vertical="center" wrapText="1"/>
    </xf>
    <xf numFmtId="0" fontId="6" fillId="17" borderId="0" xfId="0" applyFont="1" applyFill="1" applyBorder="1" applyAlignment="1" applyProtection="1">
      <alignment vertical="center"/>
    </xf>
    <xf numFmtId="0" fontId="7" fillId="17" borderId="0" xfId="0" applyFont="1" applyFill="1" applyBorder="1" applyAlignment="1" applyProtection="1">
      <alignment vertical="center"/>
    </xf>
    <xf numFmtId="0" fontId="55" fillId="0" borderId="0" xfId="0" applyFont="1" applyAlignment="1">
      <alignment vertical="center" wrapText="1"/>
    </xf>
    <xf numFmtId="0" fontId="3" fillId="24" borderId="6" xfId="0" applyFont="1" applyFill="1" applyBorder="1" applyAlignment="1">
      <alignment horizontal="center" vertical="center"/>
    </xf>
    <xf numFmtId="0" fontId="2" fillId="24" borderId="1" xfId="0" applyFont="1" applyFill="1" applyBorder="1"/>
    <xf numFmtId="0" fontId="3" fillId="23" borderId="7" xfId="0" quotePrefix="1" applyFont="1" applyFill="1" applyBorder="1" applyAlignment="1">
      <alignment horizontal="center" vertical="center" wrapText="1"/>
    </xf>
    <xf numFmtId="0" fontId="3" fillId="24" borderId="7" xfId="0" applyFont="1" applyFill="1" applyBorder="1" applyAlignment="1"/>
    <xf numFmtId="0" fontId="16" fillId="2" borderId="7" xfId="0" applyFont="1" applyFill="1" applyBorder="1" applyAlignment="1" applyProtection="1">
      <alignment horizontal="center" vertical="center" wrapText="1"/>
      <protection locked="0"/>
    </xf>
    <xf numFmtId="0" fontId="3" fillId="11" borderId="34" xfId="0" applyFont="1" applyFill="1" applyBorder="1" applyAlignment="1">
      <alignment horizontal="center" vertical="center"/>
    </xf>
    <xf numFmtId="0" fontId="1" fillId="0" borderId="7" xfId="0" applyFont="1" applyFill="1" applyBorder="1"/>
    <xf numFmtId="0" fontId="0" fillId="24" borderId="6" xfId="0" applyFill="1" applyBorder="1" applyAlignment="1">
      <alignment vertical="center"/>
    </xf>
    <xf numFmtId="0" fontId="0" fillId="24" borderId="6" xfId="0" applyFill="1" applyBorder="1" applyAlignment="1">
      <alignment horizontal="center" vertical="center"/>
    </xf>
    <xf numFmtId="0" fontId="1" fillId="24" borderId="0" xfId="0" applyFont="1" applyFill="1"/>
    <xf numFmtId="0" fontId="0" fillId="24" borderId="0" xfId="0" applyFill="1"/>
    <xf numFmtId="0" fontId="1" fillId="0" borderId="6" xfId="0" applyFont="1" applyBorder="1" applyProtection="1">
      <protection locked="0"/>
    </xf>
    <xf numFmtId="0" fontId="55" fillId="0" borderId="0" xfId="0" applyFont="1" applyAlignment="1">
      <alignment horizontal="center" vertical="center" wrapText="1"/>
    </xf>
    <xf numFmtId="0" fontId="55" fillId="0" borderId="0" xfId="0" applyFont="1" applyAlignment="1">
      <alignment horizontal="center" vertical="center" wrapText="1"/>
    </xf>
    <xf numFmtId="0" fontId="0" fillId="0" borderId="0" xfId="0" applyAlignment="1"/>
    <xf numFmtId="0" fontId="1" fillId="0" borderId="0" xfId="0" applyFont="1" applyAlignment="1">
      <alignment horizontal="left" vertical="center" wrapText="1"/>
    </xf>
    <xf numFmtId="0" fontId="60" fillId="0" borderId="32" xfId="3" applyFont="1" applyFill="1" applyBorder="1" applyAlignment="1" applyProtection="1">
      <alignment horizontal="left" vertical="center" wrapText="1"/>
      <protection locked="0"/>
    </xf>
    <xf numFmtId="0" fontId="62" fillId="26" borderId="7" xfId="0" applyFont="1" applyFill="1" applyBorder="1" applyAlignment="1">
      <alignment horizontal="center" vertical="center" textRotation="90" wrapText="1"/>
    </xf>
    <xf numFmtId="0" fontId="29" fillId="27" borderId="24" xfId="0" applyFont="1" applyFill="1" applyBorder="1" applyAlignment="1">
      <alignment vertical="center"/>
    </xf>
    <xf numFmtId="0" fontId="1" fillId="0" borderId="0" xfId="0" applyFont="1"/>
    <xf numFmtId="0" fontId="0" fillId="0" borderId="0" xfId="0" applyBorder="1" applyProtection="1">
      <protection locked="0"/>
    </xf>
    <xf numFmtId="165" fontId="0" fillId="0" borderId="0" xfId="0" applyNumberFormat="1"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0" fontId="34" fillId="0" borderId="0" xfId="0" applyFont="1" applyBorder="1" applyProtection="1">
      <protection locked="0"/>
    </xf>
    <xf numFmtId="0" fontId="0" fillId="4" borderId="0" xfId="0" applyFill="1" applyBorder="1"/>
    <xf numFmtId="14" fontId="34" fillId="0" borderId="6" xfId="0" applyNumberFormat="1" applyFont="1" applyBorder="1" applyProtection="1">
      <protection locked="0"/>
    </xf>
    <xf numFmtId="0" fontId="1" fillId="28" borderId="68" xfId="0" applyFont="1" applyFill="1" applyBorder="1"/>
    <xf numFmtId="0" fontId="19" fillId="3" borderId="20" xfId="0" applyFont="1" applyFill="1" applyBorder="1" applyAlignment="1" applyProtection="1">
      <alignment horizontal="center" vertical="center"/>
    </xf>
    <xf numFmtId="0" fontId="56" fillId="0" borderId="54" xfId="0" applyFont="1" applyBorder="1" applyAlignment="1">
      <alignment horizontal="left" vertical="center"/>
    </xf>
    <xf numFmtId="0" fontId="0" fillId="0" borderId="56" xfId="0" applyBorder="1" applyAlignment="1">
      <alignment vertical="center"/>
    </xf>
    <xf numFmtId="0" fontId="0" fillId="29" borderId="56" xfId="0" applyFill="1" applyBorder="1" applyAlignment="1">
      <alignment vertical="center" wrapText="1"/>
    </xf>
    <xf numFmtId="0" fontId="0" fillId="0" borderId="56" xfId="0" applyFill="1" applyBorder="1" applyAlignment="1">
      <alignment vertical="center"/>
    </xf>
    <xf numFmtId="0" fontId="0" fillId="0" borderId="57"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4" borderId="72" xfId="0" applyFill="1" applyBorder="1" applyAlignment="1">
      <alignment horizontal="center" vertical="center"/>
    </xf>
    <xf numFmtId="0" fontId="0" fillId="6" borderId="72" xfId="0" applyFill="1" applyBorder="1" applyAlignment="1">
      <alignment horizontal="center" vertical="center"/>
    </xf>
    <xf numFmtId="0" fontId="0" fillId="12" borderId="72" xfId="0" applyFill="1" applyBorder="1" applyAlignment="1">
      <alignment horizontal="center" vertical="center"/>
    </xf>
    <xf numFmtId="0" fontId="0" fillId="0" borderId="70" xfId="0" applyBorder="1" applyAlignment="1">
      <alignment horizontal="center" vertical="center"/>
    </xf>
    <xf numFmtId="0" fontId="0" fillId="4" borderId="72" xfId="0" applyFill="1" applyBorder="1" applyAlignment="1">
      <alignment vertical="center" wrapText="1"/>
    </xf>
    <xf numFmtId="0" fontId="0" fillId="4" borderId="72" xfId="0"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58" xfId="0" applyBorder="1" applyAlignment="1">
      <alignment vertical="center"/>
    </xf>
    <xf numFmtId="0" fontId="0" fillId="0" borderId="58" xfId="0" applyFill="1" applyBorder="1" applyAlignment="1">
      <alignment vertical="center"/>
    </xf>
    <xf numFmtId="0" fontId="0" fillId="0" borderId="59" xfId="0" applyBorder="1" applyAlignment="1">
      <alignment vertical="center"/>
    </xf>
    <xf numFmtId="0" fontId="3" fillId="0" borderId="24" xfId="0" applyFont="1" applyBorder="1" applyAlignment="1">
      <alignment wrapText="1"/>
    </xf>
    <xf numFmtId="0" fontId="1" fillId="0" borderId="6" xfId="0" applyFont="1" applyBorder="1" applyAlignment="1">
      <alignment vertical="center"/>
    </xf>
    <xf numFmtId="0" fontId="0" fillId="30" borderId="6" xfId="0" applyFill="1" applyBorder="1" applyAlignment="1">
      <alignment horizontal="center"/>
    </xf>
    <xf numFmtId="0" fontId="3" fillId="30" borderId="0" xfId="0" applyFont="1" applyFill="1" applyBorder="1" applyAlignment="1">
      <alignment horizontal="center"/>
    </xf>
    <xf numFmtId="0" fontId="0" fillId="0" borderId="0" xfId="0" applyAlignment="1">
      <alignment wrapText="1"/>
    </xf>
    <xf numFmtId="0" fontId="37" fillId="2" borderId="5" xfId="3" applyFont="1" applyFill="1" applyBorder="1" applyAlignment="1" applyProtection="1">
      <alignment horizontal="center" vertical="center" textRotation="90" wrapText="1"/>
      <protection locked="0"/>
    </xf>
    <xf numFmtId="0" fontId="77" fillId="2" borderId="5" xfId="3" applyFont="1" applyFill="1" applyBorder="1" applyAlignment="1" applyProtection="1">
      <alignment horizontal="center" vertical="center" textRotation="90" wrapText="1"/>
      <protection locked="0"/>
    </xf>
    <xf numFmtId="0" fontId="1" fillId="10" borderId="40" xfId="0" applyFont="1" applyFill="1" applyBorder="1" applyAlignment="1">
      <alignment vertical="center" wrapText="1"/>
    </xf>
    <xf numFmtId="168" fontId="4" fillId="0" borderId="6" xfId="0" applyNumberFormat="1" applyFont="1" applyBorder="1" applyAlignment="1">
      <alignment horizontal="right" wrapText="1"/>
    </xf>
    <xf numFmtId="0" fontId="8" fillId="31" borderId="6" xfId="0" applyFont="1" applyFill="1" applyBorder="1" applyAlignment="1">
      <alignment horizontal="left" vertical="top" wrapText="1" indent="1"/>
    </xf>
    <xf numFmtId="0" fontId="2" fillId="31" borderId="6" xfId="0" applyFont="1" applyFill="1" applyBorder="1" applyAlignment="1">
      <alignment wrapText="1"/>
    </xf>
    <xf numFmtId="0" fontId="37" fillId="17" borderId="5" xfId="3" applyFont="1" applyFill="1" applyBorder="1" applyAlignment="1" applyProtection="1">
      <alignment horizontal="center" vertical="center" textRotation="90" wrapText="1"/>
      <protection locked="0"/>
    </xf>
    <xf numFmtId="166" fontId="22" fillId="25" borderId="0" xfId="0" applyNumberFormat="1" applyFont="1" applyFill="1" applyAlignment="1">
      <alignment horizontal="left"/>
    </xf>
    <xf numFmtId="14" fontId="30" fillId="0" borderId="13" xfId="0" applyNumberFormat="1" applyFont="1" applyFill="1" applyBorder="1" applyAlignment="1">
      <alignment horizontal="center"/>
    </xf>
    <xf numFmtId="164" fontId="0" fillId="21" borderId="17" xfId="0" applyNumberFormat="1" applyFill="1" applyBorder="1"/>
    <xf numFmtId="164" fontId="8" fillId="21" borderId="35" xfId="0" applyNumberFormat="1" applyFont="1" applyFill="1" applyBorder="1"/>
    <xf numFmtId="164" fontId="8" fillId="21" borderId="17" xfId="0" applyNumberFormat="1" applyFont="1" applyFill="1" applyBorder="1"/>
    <xf numFmtId="164" fontId="8" fillId="0" borderId="16" xfId="0" applyNumberFormat="1" applyFont="1" applyFill="1" applyBorder="1" applyProtection="1">
      <protection locked="0"/>
    </xf>
    <xf numFmtId="0" fontId="29" fillId="3" borderId="24" xfId="0" applyFont="1" applyFill="1" applyBorder="1" applyAlignment="1">
      <alignment horizont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34" fillId="0" borderId="65" xfId="0" applyFont="1" applyBorder="1" applyAlignment="1">
      <alignment vertical="center" wrapText="1"/>
    </xf>
    <xf numFmtId="0" fontId="8" fillId="34" borderId="6" xfId="0" applyFont="1" applyFill="1" applyBorder="1" applyAlignment="1">
      <alignment vertical="center"/>
    </xf>
    <xf numFmtId="0" fontId="8" fillId="34" borderId="6" xfId="0" applyFont="1" applyFill="1" applyBorder="1" applyAlignment="1">
      <alignment horizontal="right" vertical="center" wrapText="1"/>
    </xf>
    <xf numFmtId="0" fontId="8" fillId="34" borderId="6" xfId="0" applyFont="1" applyFill="1" applyBorder="1" applyAlignment="1">
      <alignment wrapText="1"/>
    </xf>
    <xf numFmtId="0" fontId="6" fillId="34" borderId="6" xfId="0" applyFont="1" applyFill="1" applyBorder="1" applyAlignment="1">
      <alignment wrapText="1"/>
    </xf>
    <xf numFmtId="165" fontId="0" fillId="0" borderId="0" xfId="0" applyNumberFormat="1"/>
    <xf numFmtId="165" fontId="0" fillId="0" borderId="15" xfId="0" applyNumberFormat="1" applyBorder="1"/>
    <xf numFmtId="0" fontId="1" fillId="7" borderId="0" xfId="0" applyFont="1" applyFill="1" applyAlignment="1">
      <alignment wrapText="1"/>
    </xf>
    <xf numFmtId="0" fontId="7" fillId="0" borderId="0" xfId="0" applyFont="1" applyAlignment="1">
      <alignment horizontal="center" vertical="center"/>
    </xf>
    <xf numFmtId="165" fontId="78" fillId="0" borderId="0" xfId="0" applyNumberFormat="1" applyFont="1" applyBorder="1" applyProtection="1"/>
    <xf numFmtId="165" fontId="24" fillId="0" borderId="0" xfId="0" applyNumberFormat="1" applyFont="1" applyBorder="1" applyProtection="1"/>
    <xf numFmtId="10" fontId="0" fillId="29" borderId="6" xfId="0" applyNumberFormat="1" applyFill="1" applyBorder="1"/>
    <xf numFmtId="10" fontId="4" fillId="35" borderId="6" xfId="0" applyNumberFormat="1" applyFont="1" applyFill="1" applyBorder="1"/>
    <xf numFmtId="164" fontId="7" fillId="14" borderId="16" xfId="0" applyNumberFormat="1" applyFont="1" applyFill="1" applyBorder="1"/>
    <xf numFmtId="0" fontId="0" fillId="0" borderId="7" xfId="0" applyBorder="1" applyAlignment="1">
      <alignment horizontal="right" vertical="center"/>
    </xf>
    <xf numFmtId="0" fontId="0" fillId="30" borderId="7" xfId="0" applyFill="1" applyBorder="1" applyAlignment="1">
      <alignment horizontal="center"/>
    </xf>
    <xf numFmtId="0" fontId="1" fillId="0" borderId="0" xfId="0" applyFont="1" applyAlignment="1">
      <alignment vertical="center"/>
    </xf>
    <xf numFmtId="0" fontId="3" fillId="0" borderId="24" xfId="0" applyFont="1" applyBorder="1" applyAlignment="1">
      <alignment horizontal="left" wrapText="1"/>
    </xf>
    <xf numFmtId="164" fontId="0" fillId="3" borderId="37" xfId="0" applyNumberFormat="1" applyFill="1" applyBorder="1"/>
    <xf numFmtId="164" fontId="0" fillId="3" borderId="16" xfId="0" applyNumberFormat="1" applyFill="1" applyBorder="1"/>
    <xf numFmtId="10" fontId="0" fillId="29" borderId="1" xfId="0" applyNumberFormat="1" applyFill="1" applyBorder="1"/>
    <xf numFmtId="14" fontId="7" fillId="0" borderId="85" xfId="0" applyNumberFormat="1" applyFont="1" applyFill="1" applyBorder="1" applyAlignment="1">
      <alignment horizontal="left" indent="1"/>
    </xf>
    <xf numFmtId="0" fontId="7" fillId="3" borderId="72" xfId="0" applyFont="1" applyFill="1" applyBorder="1" applyAlignment="1">
      <alignment horizontal="center"/>
    </xf>
    <xf numFmtId="0" fontId="7" fillId="3" borderId="80" xfId="0" applyFont="1" applyFill="1" applyBorder="1" applyAlignment="1">
      <alignment horizontal="center"/>
    </xf>
    <xf numFmtId="9" fontId="24" fillId="26" borderId="88" xfId="0" applyNumberFormat="1" applyFont="1" applyFill="1" applyBorder="1" applyAlignment="1" applyProtection="1">
      <alignment horizontal="center"/>
    </xf>
    <xf numFmtId="9" fontId="24" fillId="26" borderId="71" xfId="0" applyNumberFormat="1" applyFont="1" applyFill="1" applyBorder="1" applyAlignment="1">
      <alignment horizontal="center"/>
    </xf>
    <xf numFmtId="164" fontId="0" fillId="21" borderId="89" xfId="0" applyNumberFormat="1" applyFill="1" applyBorder="1"/>
    <xf numFmtId="164" fontId="0" fillId="21" borderId="90" xfId="0" applyNumberFormat="1" applyFill="1" applyBorder="1"/>
    <xf numFmtId="164" fontId="78" fillId="17" borderId="87" xfId="0" applyNumberFormat="1" applyFont="1" applyFill="1" applyBorder="1" applyProtection="1"/>
    <xf numFmtId="164" fontId="8" fillId="3" borderId="92" xfId="0" applyNumberFormat="1" applyFont="1" applyFill="1" applyBorder="1"/>
    <xf numFmtId="164" fontId="8" fillId="3" borderId="82" xfId="0" applyNumberFormat="1" applyFont="1" applyFill="1" applyBorder="1"/>
    <xf numFmtId="164" fontId="8" fillId="3" borderId="70" xfId="0" applyNumberFormat="1" applyFont="1" applyFill="1" applyBorder="1" applyAlignment="1">
      <alignment horizontal="right"/>
    </xf>
    <xf numFmtId="164" fontId="8" fillId="3" borderId="71" xfId="0" applyNumberFormat="1" applyFont="1" applyFill="1" applyBorder="1" applyAlignment="1">
      <alignment horizontal="right"/>
    </xf>
    <xf numFmtId="164" fontId="78" fillId="0" borderId="82" xfId="0" applyNumberFormat="1" applyFont="1" applyFill="1" applyBorder="1" applyProtection="1"/>
    <xf numFmtId="164" fontId="8" fillId="3" borderId="92" xfId="0" applyNumberFormat="1" applyFont="1" applyFill="1" applyBorder="1" applyProtection="1"/>
    <xf numFmtId="164" fontId="7" fillId="0" borderId="80" xfId="0" applyNumberFormat="1" applyFont="1" applyFill="1" applyBorder="1" applyProtection="1"/>
    <xf numFmtId="164" fontId="8" fillId="0" borderId="70" xfId="0" applyNumberFormat="1" applyFont="1" applyBorder="1" applyProtection="1"/>
    <xf numFmtId="164" fontId="8" fillId="0" borderId="71" xfId="0" applyNumberFormat="1" applyFont="1" applyBorder="1" applyProtection="1"/>
    <xf numFmtId="164" fontId="8" fillId="21" borderId="89" xfId="0" applyNumberFormat="1" applyFont="1" applyFill="1" applyBorder="1" applyProtection="1"/>
    <xf numFmtId="164" fontId="8" fillId="21" borderId="90" xfId="0" applyNumberFormat="1" applyFont="1" applyFill="1" applyBorder="1" applyProtection="1"/>
    <xf numFmtId="164" fontId="78" fillId="17" borderId="91" xfId="0" applyNumberFormat="1" applyFont="1" applyFill="1" applyBorder="1" applyAlignment="1" applyProtection="1">
      <alignment horizontal="right"/>
    </xf>
    <xf numFmtId="164" fontId="78" fillId="0" borderId="87" xfId="0" applyNumberFormat="1" applyFont="1" applyBorder="1" applyAlignment="1" applyProtection="1">
      <alignment horizontal="right"/>
    </xf>
    <xf numFmtId="0" fontId="8" fillId="3" borderId="89" xfId="0" applyFont="1" applyFill="1" applyBorder="1" applyAlignment="1" applyProtection="1"/>
    <xf numFmtId="0" fontId="8" fillId="3" borderId="90" xfId="0" applyFont="1" applyFill="1" applyBorder="1" applyAlignment="1" applyProtection="1">
      <alignment horizontal="right"/>
    </xf>
    <xf numFmtId="164" fontId="8" fillId="29" borderId="92" xfId="0" applyNumberFormat="1" applyFont="1" applyFill="1" applyBorder="1" applyProtection="1">
      <protection locked="0"/>
    </xf>
    <xf numFmtId="164" fontId="78" fillId="17" borderId="92" xfId="0" applyNumberFormat="1" applyFont="1" applyFill="1" applyBorder="1" applyAlignment="1" applyProtection="1">
      <alignment horizontal="right"/>
    </xf>
    <xf numFmtId="164" fontId="78" fillId="0" borderId="82" xfId="0" applyNumberFormat="1" applyFont="1" applyBorder="1" applyAlignment="1" applyProtection="1">
      <alignment horizontal="right"/>
    </xf>
    <xf numFmtId="164" fontId="7" fillId="0" borderId="93" xfId="0" applyNumberFormat="1" applyFont="1" applyBorder="1" applyAlignment="1" applyProtection="1">
      <alignment horizontal="right"/>
    </xf>
    <xf numFmtId="164" fontId="8" fillId="0" borderId="70" xfId="0" applyNumberFormat="1" applyFont="1" applyBorder="1" applyAlignment="1" applyProtection="1">
      <alignment horizontal="right"/>
    </xf>
    <xf numFmtId="164" fontId="8" fillId="0" borderId="71" xfId="0" applyNumberFormat="1" applyFont="1" applyBorder="1" applyAlignment="1" applyProtection="1">
      <alignment horizontal="right"/>
    </xf>
    <xf numFmtId="164" fontId="7" fillId="0" borderId="80" xfId="0" applyNumberFormat="1" applyFont="1" applyBorder="1" applyAlignment="1" applyProtection="1">
      <alignment horizontal="right"/>
    </xf>
    <xf numFmtId="0" fontId="8" fillId="0" borderId="70" xfId="0" applyFont="1" applyBorder="1" applyProtection="1"/>
    <xf numFmtId="0" fontId="8" fillId="0" borderId="71" xfId="0" applyFont="1" applyBorder="1" applyProtection="1"/>
    <xf numFmtId="0" fontId="7" fillId="3" borderId="72" xfId="0" applyFont="1" applyFill="1" applyBorder="1" applyAlignment="1" applyProtection="1">
      <alignment horizontal="center"/>
    </xf>
    <xf numFmtId="0" fontId="7" fillId="3" borderId="80" xfId="0" applyFont="1" applyFill="1" applyBorder="1" applyAlignment="1" applyProtection="1">
      <alignment horizontal="center"/>
    </xf>
    <xf numFmtId="9" fontId="24" fillId="26" borderId="70" xfId="0" applyNumberFormat="1" applyFont="1" applyFill="1" applyBorder="1" applyAlignment="1" applyProtection="1">
      <alignment horizontal="right"/>
    </xf>
    <xf numFmtId="164" fontId="78" fillId="0" borderId="91" xfId="0" applyNumberFormat="1" applyFont="1" applyBorder="1" applyAlignment="1" applyProtection="1">
      <alignment horizontal="right"/>
    </xf>
    <xf numFmtId="0" fontId="8" fillId="0" borderId="70" xfId="0" applyFont="1" applyBorder="1" applyAlignment="1" applyProtection="1">
      <alignment horizontal="center"/>
    </xf>
    <xf numFmtId="0" fontId="8" fillId="0" borderId="71" xfId="0" applyFont="1" applyBorder="1" applyAlignment="1" applyProtection="1">
      <alignment horizontal="center"/>
    </xf>
    <xf numFmtId="164" fontId="78" fillId="35" borderId="92" xfId="0" applyNumberFormat="1" applyFont="1" applyFill="1" applyBorder="1" applyProtection="1"/>
    <xf numFmtId="164" fontId="78" fillId="0" borderId="94" xfId="0" applyNumberFormat="1" applyFont="1" applyBorder="1" applyAlignment="1" applyProtection="1">
      <alignment horizontal="right"/>
    </xf>
    <xf numFmtId="164" fontId="78" fillId="0" borderId="86" xfId="0" applyNumberFormat="1" applyFont="1" applyBorder="1" applyAlignment="1" applyProtection="1">
      <alignment horizontal="right"/>
    </xf>
    <xf numFmtId="164" fontId="7" fillId="0" borderId="70" xfId="0" applyNumberFormat="1" applyFont="1" applyBorder="1" applyProtection="1"/>
    <xf numFmtId="164" fontId="7" fillId="0" borderId="71" xfId="0" applyNumberFormat="1" applyFont="1" applyBorder="1" applyProtection="1"/>
    <xf numFmtId="0" fontId="7" fillId="3" borderId="88" xfId="0" applyFont="1" applyFill="1" applyBorder="1" applyAlignment="1" applyProtection="1">
      <alignment horizontal="center"/>
    </xf>
    <xf numFmtId="0" fontId="7" fillId="3" borderId="71" xfId="0" applyFont="1" applyFill="1" applyBorder="1" applyAlignment="1" applyProtection="1">
      <alignment horizontal="center"/>
    </xf>
    <xf numFmtId="164" fontId="7" fillId="0" borderId="95" xfId="0" applyNumberFormat="1" applyFont="1" applyBorder="1" applyAlignment="1" applyProtection="1">
      <alignment horizontal="right"/>
    </xf>
    <xf numFmtId="164" fontId="7" fillId="0" borderId="96" xfId="0" applyNumberFormat="1" applyFont="1" applyBorder="1" applyAlignment="1" applyProtection="1">
      <alignment horizontal="right"/>
    </xf>
    <xf numFmtId="0" fontId="3" fillId="3" borderId="72" xfId="0" applyFont="1" applyFill="1" applyBorder="1" applyAlignment="1" applyProtection="1">
      <alignment horizontal="center"/>
    </xf>
    <xf numFmtId="0" fontId="3" fillId="3" borderId="80" xfId="0" applyFont="1" applyFill="1" applyBorder="1" applyAlignment="1" applyProtection="1">
      <alignment horizontal="center"/>
    </xf>
    <xf numFmtId="164" fontId="0" fillId="3" borderId="88" xfId="0" applyNumberFormat="1" applyFill="1" applyBorder="1" applyProtection="1"/>
    <xf numFmtId="164" fontId="4" fillId="3" borderId="88" xfId="0" applyNumberFormat="1" applyFont="1" applyFill="1" applyBorder="1" applyAlignment="1" applyProtection="1">
      <alignment horizontal="right"/>
    </xf>
    <xf numFmtId="164" fontId="0" fillId="3" borderId="91" xfId="0" applyNumberFormat="1" applyFill="1" applyBorder="1" applyProtection="1"/>
    <xf numFmtId="164" fontId="0" fillId="3" borderId="87" xfId="0" applyNumberFormat="1" applyFill="1" applyBorder="1" applyProtection="1"/>
    <xf numFmtId="164" fontId="1" fillId="3" borderId="72" xfId="0" applyNumberFormat="1" applyFont="1" applyFill="1" applyBorder="1" applyAlignment="1">
      <alignment horizontal="center" wrapText="1"/>
    </xf>
    <xf numFmtId="164" fontId="1" fillId="3" borderId="80" xfId="0" applyNumberFormat="1" applyFont="1" applyFill="1" applyBorder="1" applyAlignment="1">
      <alignment horizontal="center" wrapText="1"/>
    </xf>
    <xf numFmtId="164" fontId="0" fillId="3" borderId="92" xfId="0" applyNumberFormat="1" applyFill="1" applyBorder="1"/>
    <xf numFmtId="164" fontId="0" fillId="3" borderId="82" xfId="0" applyNumberFormat="1" applyFill="1" applyBorder="1"/>
    <xf numFmtId="164" fontId="7" fillId="0" borderId="83" xfId="0" applyNumberFormat="1" applyFont="1" applyBorder="1" applyAlignment="1" applyProtection="1">
      <alignment horizontal="right"/>
    </xf>
    <xf numFmtId="0" fontId="3" fillId="0" borderId="0" xfId="0" applyFont="1" applyAlignment="1">
      <alignment vertical="center"/>
    </xf>
    <xf numFmtId="0" fontId="3" fillId="17" borderId="7" xfId="0" applyFont="1" applyFill="1" applyBorder="1" applyAlignment="1">
      <alignment horizontal="right"/>
    </xf>
    <xf numFmtId="0" fontId="82" fillId="3" borderId="18" xfId="3" applyNumberFormat="1" applyFont="1" applyFill="1" applyBorder="1" applyAlignment="1" applyProtection="1">
      <alignment horizontal="center" wrapText="1"/>
      <protection locked="0"/>
    </xf>
    <xf numFmtId="0" fontId="37" fillId="17" borderId="4" xfId="3" applyFont="1" applyFill="1" applyBorder="1" applyAlignment="1" applyProtection="1">
      <alignment horizontal="right" vertical="center" textRotation="90" wrapText="1"/>
      <protection locked="0"/>
    </xf>
    <xf numFmtId="0" fontId="1" fillId="0" borderId="6" xfId="0" applyFont="1" applyBorder="1"/>
    <xf numFmtId="0" fontId="0" fillId="0" borderId="0" xfId="0" applyAlignment="1">
      <alignment wrapText="1"/>
    </xf>
    <xf numFmtId="0" fontId="6" fillId="0" borderId="0" xfId="0" applyFont="1" applyBorder="1" applyAlignment="1">
      <alignment vertical="center"/>
    </xf>
    <xf numFmtId="0" fontId="1" fillId="4" borderId="6" xfId="0" applyFont="1" applyFill="1" applyBorder="1" applyAlignment="1">
      <alignment horizontal="center" wrapText="1"/>
    </xf>
    <xf numFmtId="0" fontId="1" fillId="4" borderId="7" xfId="0" applyFont="1" applyFill="1" applyBorder="1" applyAlignment="1">
      <alignment horizontal="center"/>
    </xf>
    <xf numFmtId="0" fontId="1" fillId="3" borderId="9" xfId="0" applyFont="1" applyFill="1" applyBorder="1" applyAlignment="1">
      <alignment horizontal="center" wrapText="1"/>
    </xf>
    <xf numFmtId="0" fontId="19" fillId="0" borderId="6" xfId="0" applyFont="1" applyFill="1" applyBorder="1" applyAlignment="1" applyProtection="1">
      <alignment horizontal="center" vertical="center" wrapText="1"/>
      <protection locked="0"/>
    </xf>
    <xf numFmtId="0" fontId="9" fillId="0" borderId="39" xfId="3" applyFill="1" applyBorder="1" applyAlignment="1" applyProtection="1">
      <alignment horizontal="left" vertical="center" wrapText="1"/>
      <protection locked="0"/>
    </xf>
    <xf numFmtId="0" fontId="20" fillId="0" borderId="0" xfId="0" applyFont="1" applyAlignment="1">
      <alignment horizontal="left" vertical="center" wrapText="1"/>
    </xf>
    <xf numFmtId="0" fontId="17" fillId="0" borderId="0" xfId="0" applyFont="1" applyAlignment="1">
      <alignment horizontal="left" vertical="center" wrapText="1"/>
    </xf>
    <xf numFmtId="0" fontId="21"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xf>
    <xf numFmtId="0" fontId="84" fillId="0" borderId="0" xfId="0" applyFont="1" applyAlignment="1">
      <alignment horizontal="left" vertical="center" wrapText="1"/>
    </xf>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indent="10"/>
    </xf>
    <xf numFmtId="0" fontId="0" fillId="0" borderId="0" xfId="0" applyAlignment="1">
      <alignment horizontal="left" vertical="center"/>
    </xf>
    <xf numFmtId="0" fontId="19" fillId="0" borderId="0" xfId="0" applyFont="1" applyAlignment="1">
      <alignment horizontal="left" vertical="center"/>
    </xf>
    <xf numFmtId="0" fontId="17" fillId="2" borderId="6" xfId="0" applyFont="1" applyFill="1" applyBorder="1" applyAlignment="1" applyProtection="1">
      <alignment horizontal="center" vertical="center" wrapText="1"/>
      <protection locked="0"/>
    </xf>
    <xf numFmtId="164" fontId="8" fillId="17" borderId="70" xfId="0" applyNumberFormat="1" applyFont="1" applyFill="1" applyBorder="1" applyAlignment="1" applyProtection="1">
      <alignment horizontal="right"/>
      <protection locked="0"/>
    </xf>
    <xf numFmtId="164" fontId="4" fillId="35" borderId="6" xfId="0" applyNumberFormat="1" applyFont="1" applyFill="1" applyBorder="1" applyAlignment="1">
      <alignment horizontal="left"/>
    </xf>
    <xf numFmtId="0" fontId="17" fillId="0" borderId="0" xfId="0" applyFont="1" applyAlignment="1">
      <alignment horizontal="left" vertical="center" wrapText="1"/>
    </xf>
    <xf numFmtId="0" fontId="16" fillId="0" borderId="0" xfId="0" applyFont="1" applyAlignment="1">
      <alignment horizontal="left" vertical="center"/>
    </xf>
    <xf numFmtId="0" fontId="73" fillId="3" borderId="7" xfId="0" applyFont="1" applyFill="1" applyBorder="1" applyAlignment="1">
      <alignment horizontal="center"/>
    </xf>
    <xf numFmtId="0" fontId="1" fillId="0" borderId="0" xfId="0" quotePrefix="1" applyFont="1"/>
    <xf numFmtId="0" fontId="10" fillId="24" borderId="0" xfId="0" applyFont="1" applyFill="1" applyBorder="1" applyAlignment="1">
      <alignment horizontal="center" vertical="center"/>
    </xf>
    <xf numFmtId="14" fontId="10" fillId="24" borderId="0" xfId="0" applyNumberFormat="1" applyFont="1" applyFill="1" applyBorder="1" applyAlignment="1">
      <alignment horizontal="center" vertical="center"/>
    </xf>
    <xf numFmtId="165" fontId="10" fillId="24" borderId="0" xfId="0" applyNumberFormat="1" applyFont="1" applyFill="1" applyBorder="1" applyAlignment="1">
      <alignment horizontal="center" vertical="center"/>
    </xf>
    <xf numFmtId="10" fontId="10" fillId="24" borderId="0" xfId="0" applyNumberFormat="1" applyFont="1" applyFill="1" applyBorder="1" applyAlignment="1">
      <alignment horizontal="center" vertical="center"/>
    </xf>
    <xf numFmtId="0" fontId="7" fillId="2" borderId="6" xfId="0" applyFont="1" applyFill="1" applyBorder="1" applyAlignment="1">
      <alignment horizontal="right" wrapText="1"/>
    </xf>
    <xf numFmtId="0" fontId="7" fillId="3" borderId="6" xfId="0" applyFont="1" applyFill="1" applyBorder="1" applyAlignment="1">
      <alignment horizontal="right" wrapText="1"/>
    </xf>
    <xf numFmtId="0" fontId="1" fillId="0" borderId="6" xfId="0" applyFont="1" applyBorder="1" applyAlignment="1">
      <alignment vertical="center" wrapText="1"/>
    </xf>
    <xf numFmtId="0" fontId="1" fillId="38" borderId="6" xfId="0" applyFont="1" applyFill="1" applyBorder="1" applyAlignment="1">
      <alignment vertical="center" wrapText="1"/>
    </xf>
    <xf numFmtId="0" fontId="31" fillId="4" borderId="6" xfId="0" applyFont="1" applyFill="1" applyBorder="1" applyAlignment="1">
      <alignment vertical="center" wrapText="1"/>
    </xf>
    <xf numFmtId="0" fontId="31" fillId="4" borderId="6" xfId="0" applyFont="1" applyFill="1" applyBorder="1" applyAlignment="1">
      <alignment wrapText="1"/>
    </xf>
    <xf numFmtId="0" fontId="1" fillId="11" borderId="6" xfId="0" applyFont="1" applyFill="1" applyBorder="1" applyAlignment="1">
      <alignment vertical="center" wrapText="1"/>
    </xf>
    <xf numFmtId="0" fontId="1" fillId="39" borderId="1" xfId="0" applyFont="1" applyFill="1" applyBorder="1" applyAlignment="1">
      <alignment vertical="center" wrapText="1"/>
    </xf>
    <xf numFmtId="0" fontId="1" fillId="0" borderId="6" xfId="0" applyFont="1" applyBorder="1" applyAlignment="1" applyProtection="1">
      <alignment wrapText="1"/>
    </xf>
    <xf numFmtId="0" fontId="19" fillId="0" borderId="0" xfId="0" applyFont="1" applyAlignment="1">
      <alignment vertical="center"/>
    </xf>
    <xf numFmtId="0" fontId="19" fillId="2" borderId="6" xfId="0" applyFont="1" applyFill="1" applyBorder="1" applyAlignment="1">
      <alignment vertical="center"/>
    </xf>
    <xf numFmtId="0" fontId="19" fillId="2" borderId="6" xfId="0" applyFont="1" applyFill="1" applyBorder="1" applyAlignment="1">
      <alignment horizontal="center" vertical="center"/>
    </xf>
    <xf numFmtId="0" fontId="31" fillId="38" borderId="24" xfId="0" applyNumberFormat="1" applyFont="1" applyFill="1" applyBorder="1" applyAlignment="1">
      <alignment horizontal="right" vertical="center"/>
    </xf>
    <xf numFmtId="0" fontId="31" fillId="38" borderId="24" xfId="0" applyFont="1" applyFill="1" applyBorder="1" applyAlignment="1">
      <alignment vertical="center"/>
    </xf>
    <xf numFmtId="0" fontId="29" fillId="11" borderId="24" xfId="0" applyFont="1" applyFill="1" applyBorder="1" applyAlignment="1">
      <alignment vertical="center"/>
    </xf>
    <xf numFmtId="0" fontId="29" fillId="0" borderId="6" xfId="0" applyFont="1" applyBorder="1" applyAlignment="1">
      <alignment vertical="center"/>
    </xf>
    <xf numFmtId="0" fontId="0" fillId="0" borderId="1" xfId="0" applyBorder="1" applyAlignment="1">
      <alignment wrapText="1"/>
    </xf>
    <xf numFmtId="0" fontId="0" fillId="0" borderId="6" xfId="0" applyBorder="1" applyProtection="1"/>
    <xf numFmtId="0" fontId="0" fillId="0" borderId="6" xfId="0" applyNumberFormat="1" applyBorder="1" applyProtection="1"/>
    <xf numFmtId="10" fontId="0" fillId="0" borderId="6" xfId="0" applyNumberFormat="1" applyBorder="1" applyProtection="1"/>
    <xf numFmtId="49" fontId="0" fillId="0" borderId="6" xfId="0" applyNumberFormat="1" applyBorder="1" applyProtection="1"/>
    <xf numFmtId="0" fontId="1" fillId="0" borderId="6" xfId="0" applyFont="1" applyBorder="1" applyAlignment="1">
      <alignment horizontal="right"/>
    </xf>
    <xf numFmtId="0" fontId="10" fillId="24" borderId="0" xfId="0" applyFont="1" applyFill="1" applyBorder="1" applyAlignment="1">
      <alignment horizontal="right" vertical="center"/>
    </xf>
    <xf numFmtId="0" fontId="10" fillId="24" borderId="0" xfId="0" quotePrefix="1" applyFont="1" applyFill="1" applyBorder="1" applyAlignment="1">
      <alignment horizontal="left" vertical="center"/>
    </xf>
    <xf numFmtId="0" fontId="31" fillId="32" borderId="7" xfId="0" applyFont="1" applyFill="1" applyBorder="1" applyAlignment="1">
      <alignment horizontal="center"/>
    </xf>
    <xf numFmtId="1" fontId="10" fillId="21" borderId="24" xfId="0" applyNumberFormat="1" applyFont="1" applyFill="1" applyBorder="1" applyAlignment="1" applyProtection="1">
      <alignment horizontal="center" vertical="center"/>
    </xf>
    <xf numFmtId="0" fontId="34" fillId="21" borderId="24" xfId="0" applyFont="1" applyFill="1" applyBorder="1" applyAlignment="1" applyProtection="1">
      <alignment horizontal="center" vertical="center" wrapText="1"/>
    </xf>
    <xf numFmtId="0" fontId="23" fillId="21" borderId="6" xfId="0" applyFont="1" applyFill="1" applyBorder="1" applyAlignment="1" applyProtection="1">
      <alignment horizontal="center" vertical="center" wrapText="1"/>
    </xf>
    <xf numFmtId="0" fontId="1" fillId="21" borderId="20" xfId="0" applyFont="1" applyFill="1" applyBorder="1" applyAlignment="1">
      <alignment vertical="top" wrapText="1"/>
    </xf>
    <xf numFmtId="0" fontId="1" fillId="21" borderId="1" xfId="0" applyFont="1" applyFill="1" applyBorder="1" applyAlignment="1">
      <alignment vertical="top" wrapText="1"/>
    </xf>
    <xf numFmtId="0" fontId="0" fillId="21" borderId="0" xfId="0" applyFill="1" applyAlignment="1">
      <alignment horizontal="center"/>
    </xf>
    <xf numFmtId="0" fontId="79" fillId="21" borderId="0" xfId="0" applyFont="1" applyFill="1" applyBorder="1" applyAlignment="1">
      <alignment vertical="center" wrapText="1"/>
    </xf>
    <xf numFmtId="0" fontId="55" fillId="21" borderId="0" xfId="0" applyFont="1" applyFill="1" applyBorder="1" applyAlignment="1">
      <alignment vertical="center" wrapText="1"/>
    </xf>
    <xf numFmtId="10" fontId="1" fillId="17" borderId="1" xfId="0" applyNumberFormat="1" applyFont="1" applyFill="1" applyBorder="1" applyProtection="1">
      <protection locked="0"/>
    </xf>
    <xf numFmtId="0" fontId="0" fillId="21" borderId="1" xfId="0" applyFill="1" applyBorder="1"/>
    <xf numFmtId="0" fontId="0" fillId="21" borderId="6" xfId="0" applyFill="1" applyBorder="1"/>
    <xf numFmtId="0" fontId="0" fillId="21" borderId="1" xfId="0" applyFill="1" applyBorder="1" applyAlignment="1">
      <alignment horizontal="left"/>
    </xf>
    <xf numFmtId="0" fontId="10" fillId="0" borderId="0" xfId="0" applyFont="1" applyBorder="1" applyAlignment="1" applyProtection="1">
      <alignment horizontal="center" vertical="center"/>
      <protection locked="0"/>
    </xf>
    <xf numFmtId="0" fontId="1" fillId="37" borderId="6" xfId="0" quotePrefix="1" applyFont="1" applyFill="1" applyBorder="1" applyAlignment="1">
      <alignment vertical="center" wrapText="1"/>
    </xf>
    <xf numFmtId="0" fontId="34" fillId="17" borderId="24" xfId="0" applyFont="1" applyFill="1" applyBorder="1" applyAlignment="1" applyProtection="1">
      <alignment horizontal="left" vertical="top" wrapText="1"/>
      <protection locked="0"/>
    </xf>
    <xf numFmtId="0" fontId="2" fillId="17" borderId="6" xfId="0" applyFont="1" applyFill="1" applyBorder="1" applyAlignment="1">
      <alignment vertical="center"/>
    </xf>
    <xf numFmtId="0" fontId="8" fillId="0" borderId="63" xfId="0" applyFont="1" applyFill="1" applyBorder="1" applyAlignment="1"/>
    <xf numFmtId="0" fontId="8" fillId="0" borderId="64" xfId="0" applyFont="1" applyFill="1" applyBorder="1" applyAlignment="1"/>
    <xf numFmtId="0" fontId="8" fillId="0" borderId="22" xfId="0" applyFont="1" applyFill="1" applyBorder="1" applyAlignment="1"/>
    <xf numFmtId="0" fontId="0" fillId="0" borderId="0" xfId="0" applyFont="1" applyBorder="1" applyAlignment="1">
      <alignment horizontal="left"/>
    </xf>
    <xf numFmtId="0" fontId="0" fillId="0" borderId="0" xfId="0" applyFont="1" applyFill="1" applyBorder="1" applyAlignment="1">
      <alignment horizontal="left"/>
    </xf>
    <xf numFmtId="0" fontId="19" fillId="0" borderId="0" xfId="0" applyFont="1" applyFill="1" applyBorder="1" applyAlignment="1" applyProtection="1">
      <alignment horizontal="left" vertical="center"/>
    </xf>
    <xf numFmtId="0" fontId="19" fillId="3" borderId="1" xfId="0" applyFont="1" applyFill="1" applyBorder="1" applyAlignment="1" applyProtection="1">
      <alignment horizontal="center" vertical="center"/>
    </xf>
    <xf numFmtId="0" fontId="8" fillId="0" borderId="99" xfId="0" applyFont="1" applyBorder="1" applyAlignment="1">
      <alignment horizontal="left"/>
    </xf>
    <xf numFmtId="0" fontId="0" fillId="0" borderId="100" xfId="0" applyBorder="1"/>
    <xf numFmtId="0" fontId="8" fillId="0" borderId="5" xfId="0" applyFont="1" applyBorder="1" applyAlignment="1">
      <alignment horizontal="left"/>
    </xf>
    <xf numFmtId="0" fontId="0" fillId="0" borderId="4" xfId="0" applyBorder="1"/>
    <xf numFmtId="0" fontId="8" fillId="0" borderId="4" xfId="0" applyFont="1" applyBorder="1"/>
    <xf numFmtId="0" fontId="8" fillId="0" borderId="5" xfId="0" applyFont="1" applyFill="1" applyBorder="1" applyAlignment="1">
      <alignment horizontal="left"/>
    </xf>
    <xf numFmtId="0" fontId="7" fillId="0" borderId="5" xfId="0" applyFont="1" applyBorder="1" applyAlignment="1">
      <alignment horizontal="left"/>
    </xf>
    <xf numFmtId="0" fontId="7" fillId="0" borderId="5" xfId="0" applyFont="1" applyFill="1" applyBorder="1" applyAlignment="1">
      <alignment horizontal="left"/>
    </xf>
    <xf numFmtId="0" fontId="0" fillId="0" borderId="6" xfId="0" applyBorder="1" applyAlignment="1" applyProtection="1">
      <alignment horizontal="center"/>
      <protection locked="0"/>
    </xf>
    <xf numFmtId="0" fontId="19" fillId="3" borderId="20" xfId="0" applyFont="1" applyFill="1" applyBorder="1" applyAlignment="1" applyProtection="1">
      <alignment horizontal="center" vertical="center"/>
    </xf>
    <xf numFmtId="0" fontId="0" fillId="0" borderId="33" xfId="0" applyBorder="1"/>
    <xf numFmtId="0" fontId="0" fillId="0" borderId="40" xfId="0" applyBorder="1"/>
    <xf numFmtId="0" fontId="0" fillId="0" borderId="24" xfId="0" applyBorder="1"/>
    <xf numFmtId="49" fontId="3" fillId="36" borderId="6" xfId="0" applyNumberFormat="1" applyFont="1" applyFill="1" applyBorder="1" applyAlignment="1">
      <alignment horizontal="center"/>
    </xf>
    <xf numFmtId="0" fontId="3" fillId="31" borderId="6" xfId="0" applyFont="1" applyFill="1" applyBorder="1" applyAlignment="1">
      <alignment horizontal="center"/>
    </xf>
    <xf numFmtId="0" fontId="1" fillId="30" borderId="6" xfId="0" applyFont="1" applyFill="1" applyBorder="1" applyAlignment="1">
      <alignment wrapText="1"/>
    </xf>
    <xf numFmtId="0" fontId="1" fillId="26" borderId="6" xfId="0" applyFont="1" applyFill="1" applyBorder="1" applyAlignment="1">
      <alignment wrapText="1"/>
    </xf>
    <xf numFmtId="0" fontId="0" fillId="41" borderId="6" xfId="0" applyFill="1" applyBorder="1" applyAlignment="1">
      <alignment wrapText="1"/>
    </xf>
    <xf numFmtId="0" fontId="0" fillId="41" borderId="6" xfId="0" applyFont="1" applyFill="1" applyBorder="1" applyAlignment="1">
      <alignment wrapText="1"/>
    </xf>
    <xf numFmtId="0" fontId="19" fillId="21" borderId="6" xfId="0" applyFont="1" applyFill="1" applyBorder="1" applyAlignment="1" applyProtection="1">
      <alignment horizontal="center" vertical="center" wrapText="1"/>
    </xf>
    <xf numFmtId="0" fontId="34" fillId="30" borderId="6" xfId="0" applyFont="1" applyFill="1" applyBorder="1" applyAlignment="1">
      <alignment wrapText="1"/>
    </xf>
    <xf numFmtId="0" fontId="34" fillId="0" borderId="0" xfId="0" applyFont="1"/>
    <xf numFmtId="0" fontId="30" fillId="18" borderId="7" xfId="0" applyFont="1" applyFill="1" applyBorder="1" applyAlignment="1" applyProtection="1">
      <alignment horizontal="left" vertical="center"/>
    </xf>
    <xf numFmtId="0" fontId="34" fillId="0" borderId="6" xfId="0" applyFont="1" applyBorder="1" applyAlignment="1">
      <alignment horizontal="center"/>
    </xf>
    <xf numFmtId="0" fontId="34" fillId="0" borderId="0" xfId="0" applyFont="1" applyAlignment="1">
      <alignment horizontal="center"/>
    </xf>
    <xf numFmtId="0" fontId="8" fillId="0" borderId="99" xfId="0" applyFont="1" applyBorder="1" applyAlignment="1">
      <alignment horizontal="left" vertical="center"/>
    </xf>
    <xf numFmtId="0" fontId="8" fillId="0" borderId="100" xfId="0" applyFont="1" applyBorder="1" applyAlignment="1">
      <alignment horizontal="left" vertical="center"/>
    </xf>
    <xf numFmtId="0" fontId="0" fillId="0" borderId="100" xfId="0" applyBorder="1" applyAlignment="1">
      <alignment horizontal="left" vertical="center"/>
    </xf>
    <xf numFmtId="0" fontId="0" fillId="0" borderId="30" xfId="0" applyBorder="1"/>
    <xf numFmtId="0" fontId="2" fillId="23" borderId="6" xfId="0" applyFont="1" applyFill="1" applyBorder="1" applyAlignment="1">
      <alignment vertical="center"/>
    </xf>
    <xf numFmtId="0" fontId="2" fillId="23" borderId="6" xfId="0" applyFont="1" applyFill="1" applyBorder="1" applyAlignment="1">
      <alignment vertical="center" wrapText="1"/>
    </xf>
    <xf numFmtId="0" fontId="0" fillId="23" borderId="33" xfId="0" applyFill="1" applyBorder="1" applyAlignment="1">
      <alignment vertical="center"/>
    </xf>
    <xf numFmtId="0" fontId="34" fillId="35" borderId="6" xfId="0" applyFont="1" applyFill="1" applyBorder="1" applyAlignment="1">
      <alignment wrapText="1"/>
    </xf>
    <xf numFmtId="0" fontId="34" fillId="0" borderId="24" xfId="0" applyFont="1" applyBorder="1"/>
    <xf numFmtId="0" fontId="7" fillId="0" borderId="6" xfId="0" applyFont="1" applyBorder="1" applyAlignment="1">
      <alignment horizontal="left" vertical="top" wrapText="1" indent="1"/>
    </xf>
    <xf numFmtId="0" fontId="0" fillId="3" borderId="31" xfId="0" applyFill="1" applyBorder="1"/>
    <xf numFmtId="0" fontId="3" fillId="23" borderId="7" xfId="0" applyFont="1" applyFill="1" applyBorder="1" applyAlignment="1">
      <alignment horizontal="center" vertical="center"/>
    </xf>
    <xf numFmtId="0" fontId="3" fillId="23" borderId="68" xfId="0" applyFont="1" applyFill="1" applyBorder="1" applyAlignment="1">
      <alignment horizontal="center" vertical="center" wrapText="1"/>
    </xf>
    <xf numFmtId="0" fontId="3" fillId="24" borderId="68" xfId="0" applyFont="1" applyFill="1" applyBorder="1" applyAlignment="1">
      <alignment horizontal="center" vertical="center"/>
    </xf>
    <xf numFmtId="0" fontId="8" fillId="0" borderId="6" xfId="0" applyFont="1" applyFill="1" applyBorder="1" applyAlignment="1" applyProtection="1">
      <alignment horizontal="center" vertical="top" wrapText="1"/>
    </xf>
    <xf numFmtId="0" fontId="16" fillId="20" borderId="20" xfId="0" applyFont="1" applyFill="1" applyBorder="1" applyAlignment="1" applyProtection="1">
      <alignment vertical="center" wrapText="1"/>
    </xf>
    <xf numFmtId="0" fontId="16" fillId="20" borderId="93" xfId="0" applyFont="1" applyFill="1" applyBorder="1" applyAlignment="1" applyProtection="1">
      <alignment vertical="center" wrapText="1"/>
    </xf>
    <xf numFmtId="0" fontId="0" fillId="0" borderId="73" xfId="0" applyBorder="1" applyProtection="1"/>
    <xf numFmtId="0" fontId="16" fillId="0" borderId="33" xfId="0" applyFont="1" applyFill="1" applyBorder="1" applyAlignment="1" applyProtection="1">
      <alignment horizontal="center" vertical="center" wrapText="1"/>
      <protection locked="0"/>
    </xf>
    <xf numFmtId="0" fontId="10" fillId="0" borderId="39"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4" fillId="2" borderId="51" xfId="0" applyFont="1" applyFill="1" applyBorder="1" applyAlignment="1" applyProtection="1">
      <alignment vertical="center"/>
    </xf>
    <xf numFmtId="0" fontId="16" fillId="17" borderId="52" xfId="0" applyFont="1" applyFill="1" applyBorder="1" applyAlignment="1" applyProtection="1">
      <alignment horizontal="center" vertical="center" wrapText="1"/>
    </xf>
    <xf numFmtId="0" fontId="24" fillId="2" borderId="101" xfId="0" applyFont="1" applyFill="1" applyBorder="1" applyAlignment="1" applyProtection="1">
      <alignment vertical="center"/>
    </xf>
    <xf numFmtId="0" fontId="6" fillId="2" borderId="53" xfId="0" applyFont="1" applyFill="1" applyBorder="1" applyAlignment="1" applyProtection="1">
      <alignment vertical="center" wrapText="1"/>
    </xf>
    <xf numFmtId="0" fontId="10" fillId="0" borderId="0"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 fillId="0" borderId="6" xfId="0" applyNumberFormat="1" applyFont="1" applyBorder="1" applyAlignment="1" applyProtection="1">
      <alignment wrapText="1"/>
      <protection locked="0"/>
    </xf>
    <xf numFmtId="0" fontId="0" fillId="0" borderId="6" xfId="0" applyNumberFormat="1" applyBorder="1" applyAlignment="1" applyProtection="1">
      <alignment wrapText="1"/>
      <protection locked="0"/>
    </xf>
    <xf numFmtId="0" fontId="16" fillId="0" borderId="0" xfId="0" applyFont="1" applyFill="1"/>
    <xf numFmtId="0" fontId="19" fillId="0" borderId="0" xfId="0" applyFont="1" applyFill="1" applyBorder="1" applyAlignment="1">
      <alignment horizontal="center" vertical="center" wrapText="1"/>
    </xf>
    <xf numFmtId="0" fontId="0" fillId="0" borderId="0" xfId="0" applyAlignment="1"/>
    <xf numFmtId="0" fontId="16" fillId="0" borderId="0" xfId="0" applyFont="1" applyBorder="1" applyAlignment="1">
      <alignment vertical="center"/>
    </xf>
    <xf numFmtId="0" fontId="88" fillId="0" borderId="0" xfId="0" applyFont="1" applyAlignment="1">
      <alignment vertical="center"/>
    </xf>
    <xf numFmtId="0" fontId="16" fillId="0" borderId="0" xfId="0" applyFont="1" applyAlignment="1">
      <alignment vertical="center"/>
    </xf>
    <xf numFmtId="0" fontId="7" fillId="2" borderId="30" xfId="0" applyFont="1" applyFill="1" applyBorder="1" applyAlignment="1">
      <alignment horizontal="right" vertical="center" wrapText="1"/>
    </xf>
    <xf numFmtId="0" fontId="19" fillId="0" borderId="30" xfId="0" applyFont="1" applyBorder="1" applyAlignment="1">
      <alignment vertical="center" wrapText="1"/>
    </xf>
    <xf numFmtId="0" fontId="78" fillId="0" borderId="87" xfId="0" applyNumberFormat="1" applyFont="1" applyBorder="1" applyAlignment="1" applyProtection="1">
      <alignment horizontal="right"/>
    </xf>
    <xf numFmtId="0" fontId="0" fillId="42" borderId="0" xfId="0" applyFill="1"/>
    <xf numFmtId="0" fontId="0" fillId="42" borderId="0" xfId="0" applyFill="1" applyAlignment="1">
      <alignment horizontal="center"/>
    </xf>
    <xf numFmtId="0" fontId="1" fillId="0" borderId="39" xfId="0" applyFont="1" applyFill="1" applyBorder="1"/>
    <xf numFmtId="0" fontId="8" fillId="24" borderId="6" xfId="0" quotePrefix="1" applyNumberFormat="1" applyFont="1" applyFill="1" applyBorder="1"/>
    <xf numFmtId="0" fontId="16" fillId="24" borderId="0" xfId="0" applyFont="1" applyFill="1"/>
    <xf numFmtId="0" fontId="16" fillId="0" borderId="0" xfId="0" applyFont="1" applyAlignment="1">
      <alignment wrapText="1"/>
    </xf>
    <xf numFmtId="0" fontId="16" fillId="0" borderId="0" xfId="0" applyFont="1" applyBorder="1" applyAlignment="1"/>
    <xf numFmtId="0" fontId="16" fillId="0" borderId="0" xfId="0" applyFont="1" applyBorder="1" applyAlignment="1">
      <alignment horizontal="left" wrapText="1"/>
    </xf>
    <xf numFmtId="0" fontId="16" fillId="0" borderId="0" xfId="0" applyFont="1" applyBorder="1" applyAlignment="1">
      <alignment wrapText="1"/>
    </xf>
    <xf numFmtId="0" fontId="19" fillId="0" borderId="0" xfId="0" applyFont="1" applyBorder="1" applyAlignment="1"/>
    <xf numFmtId="0" fontId="19" fillId="0" borderId="0" xfId="0" applyFont="1" applyBorder="1" applyAlignment="1">
      <alignment horizontal="right"/>
    </xf>
    <xf numFmtId="0" fontId="22" fillId="0" borderId="0" xfId="0" applyFont="1" applyAlignment="1"/>
    <xf numFmtId="0" fontId="22" fillId="0" borderId="0" xfId="0" applyFont="1" applyBorder="1" applyAlignment="1"/>
    <xf numFmtId="169" fontId="16" fillId="0" borderId="0" xfId="1" applyNumberFormat="1" applyFont="1"/>
    <xf numFmtId="0" fontId="8" fillId="0" borderId="33" xfId="0" applyNumberFormat="1" applyFont="1" applyBorder="1"/>
    <xf numFmtId="0" fontId="8" fillId="0" borderId="24" xfId="0" applyNumberFormat="1" applyFont="1" applyBorder="1"/>
    <xf numFmtId="0" fontId="1" fillId="0" borderId="0" xfId="0" applyFont="1" applyAlignment="1">
      <alignment horizontal="left" indent="1"/>
    </xf>
    <xf numFmtId="0" fontId="3" fillId="0" borderId="0" xfId="0" applyFont="1"/>
    <xf numFmtId="0" fontId="3" fillId="0" borderId="0" xfId="0" applyFont="1" applyAlignment="1">
      <alignment horizontal="left" indent="1"/>
    </xf>
    <xf numFmtId="0" fontId="1" fillId="24" borderId="0" xfId="0" applyFont="1" applyFill="1" applyAlignment="1">
      <alignment vertical="center"/>
    </xf>
    <xf numFmtId="0" fontId="0" fillId="21" borderId="8" xfId="0" applyFill="1" applyBorder="1" applyAlignment="1">
      <alignment horizontal="center"/>
    </xf>
    <xf numFmtId="0" fontId="1" fillId="3" borderId="8" xfId="0" applyFont="1" applyFill="1" applyBorder="1" applyAlignment="1">
      <alignment horizontal="center"/>
    </xf>
    <xf numFmtId="0" fontId="1" fillId="43" borderId="6" xfId="0" applyFont="1" applyFill="1" applyBorder="1" applyAlignment="1">
      <alignment vertical="center" wrapText="1"/>
    </xf>
    <xf numFmtId="0" fontId="1" fillId="43" borderId="0" xfId="0" applyFont="1" applyFill="1"/>
    <xf numFmtId="0" fontId="19" fillId="0" borderId="24" xfId="0" applyFont="1" applyFill="1" applyBorder="1" applyAlignment="1" applyProtection="1">
      <alignment horizontal="center" vertical="center" wrapText="1"/>
      <protection locked="0"/>
    </xf>
    <xf numFmtId="0" fontId="26" fillId="3" borderId="34" xfId="0" applyFont="1" applyFill="1" applyBorder="1" applyAlignment="1">
      <alignment horizontal="centerContinuous" vertical="center" wrapText="1"/>
    </xf>
    <xf numFmtId="0" fontId="26" fillId="3" borderId="31" xfId="0" applyFont="1" applyFill="1" applyBorder="1" applyAlignment="1">
      <alignment horizontal="centerContinuous" vertical="center" wrapText="1"/>
    </xf>
    <xf numFmtId="0" fontId="26" fillId="3" borderId="23" xfId="0" applyFont="1" applyFill="1" applyBorder="1" applyAlignment="1">
      <alignment horizontal="centerContinuous" vertical="center" wrapText="1"/>
    </xf>
    <xf numFmtId="0" fontId="26" fillId="3" borderId="32" xfId="0" applyFont="1" applyFill="1" applyBorder="1" applyAlignment="1">
      <alignment horizontal="centerContinuous" vertical="center" wrapText="1"/>
    </xf>
    <xf numFmtId="0" fontId="26" fillId="3" borderId="28" xfId="0" applyFont="1" applyFill="1" applyBorder="1" applyAlignment="1">
      <alignment horizontal="centerContinuous" vertical="center" wrapText="1"/>
    </xf>
    <xf numFmtId="0" fontId="26" fillId="3" borderId="19" xfId="0" applyFont="1" applyFill="1" applyBorder="1" applyAlignment="1">
      <alignment horizontal="centerContinuous" vertical="center" wrapText="1"/>
    </xf>
    <xf numFmtId="0" fontId="56" fillId="0" borderId="70" xfId="0" applyFont="1" applyBorder="1" applyAlignment="1">
      <alignment horizontal="left" vertical="center"/>
    </xf>
    <xf numFmtId="0" fontId="0" fillId="29" borderId="0" xfId="0" applyFill="1" applyBorder="1" applyAlignment="1">
      <alignment vertical="center" wrapText="1"/>
    </xf>
    <xf numFmtId="0" fontId="40" fillId="29" borderId="0" xfId="0" applyFont="1" applyFill="1" applyBorder="1" applyAlignment="1">
      <alignment horizontal="center" vertical="center"/>
    </xf>
    <xf numFmtId="0" fontId="5" fillId="3" borderId="34" xfId="0" applyFont="1" applyFill="1" applyBorder="1" applyAlignment="1">
      <alignment horizontal="centerContinuous" vertical="center"/>
    </xf>
    <xf numFmtId="0" fontId="5" fillId="3" borderId="31" xfId="0" applyFont="1" applyFill="1" applyBorder="1" applyAlignment="1">
      <alignment horizontal="centerContinuous" vertical="center"/>
    </xf>
    <xf numFmtId="0" fontId="5" fillId="3" borderId="23" xfId="0" applyFont="1" applyFill="1" applyBorder="1" applyAlignment="1">
      <alignment horizontal="centerContinuous" vertical="center"/>
    </xf>
    <xf numFmtId="0" fontId="5" fillId="3" borderId="32" xfId="0" applyFont="1" applyFill="1" applyBorder="1" applyAlignment="1">
      <alignment horizontal="centerContinuous" vertical="center"/>
    </xf>
    <xf numFmtId="0" fontId="5" fillId="3" borderId="28" xfId="0" applyFont="1" applyFill="1" applyBorder="1" applyAlignment="1">
      <alignment horizontal="centerContinuous" vertical="center"/>
    </xf>
    <xf numFmtId="0" fontId="5" fillId="3" borderId="19" xfId="0" applyFont="1" applyFill="1" applyBorder="1" applyAlignment="1">
      <alignment horizontal="centerContinuous" vertical="center"/>
    </xf>
    <xf numFmtId="0" fontId="3" fillId="3" borderId="34" xfId="0" applyFont="1" applyFill="1" applyBorder="1" applyAlignment="1">
      <alignment horizontal="left"/>
    </xf>
    <xf numFmtId="0" fontId="0" fillId="3" borderId="23" xfId="0" applyFill="1" applyBorder="1"/>
    <xf numFmtId="0" fontId="3" fillId="3" borderId="7" xfId="0" applyFont="1" applyFill="1" applyBorder="1" applyAlignment="1">
      <alignment horizontal="left"/>
    </xf>
    <xf numFmtId="0" fontId="19" fillId="0" borderId="0" xfId="0" applyFont="1"/>
    <xf numFmtId="0" fontId="19" fillId="0" borderId="0" xfId="0" applyFont="1" applyAlignment="1">
      <alignment wrapText="1"/>
    </xf>
    <xf numFmtId="0" fontId="19" fillId="0" borderId="36" xfId="0" applyFont="1" applyFill="1" applyBorder="1" applyAlignment="1" applyProtection="1">
      <alignment horizontal="center" vertical="center" wrapText="1"/>
      <protection locked="0"/>
    </xf>
    <xf numFmtId="0" fontId="23" fillId="0" borderId="2" xfId="0" applyFont="1" applyFill="1" applyBorder="1" applyAlignment="1">
      <alignment horizontal="left" vertical="center" wrapText="1" indent="1"/>
    </xf>
    <xf numFmtId="0" fontId="23" fillId="0" borderId="3" xfId="0" applyFont="1" applyFill="1" applyBorder="1" applyAlignment="1">
      <alignment horizontal="left" vertical="center" wrapText="1" indent="1"/>
    </xf>
    <xf numFmtId="0" fontId="23" fillId="0" borderId="48" xfId="0" applyFont="1" applyFill="1" applyBorder="1" applyAlignment="1">
      <alignment horizontal="left" vertical="center" wrapText="1" indent="1"/>
    </xf>
    <xf numFmtId="0" fontId="3" fillId="0" borderId="8" xfId="0" applyFont="1" applyFill="1" applyBorder="1" applyAlignment="1">
      <alignment horizontal="left" wrapText="1"/>
    </xf>
    <xf numFmtId="164" fontId="0" fillId="0" borderId="8" xfId="0" applyNumberFormat="1" applyFill="1" applyBorder="1" applyProtection="1"/>
    <xf numFmtId="0" fontId="1" fillId="18" borderId="102" xfId="0" applyFont="1" applyFill="1" applyBorder="1" applyAlignment="1">
      <alignment horizontal="center" vertical="center"/>
    </xf>
    <xf numFmtId="0" fontId="14" fillId="18" borderId="29" xfId="0" applyFont="1" applyFill="1" applyBorder="1" applyAlignment="1">
      <alignment horizontal="left" vertical="center" indent="3"/>
    </xf>
    <xf numFmtId="0" fontId="8" fillId="18" borderId="29" xfId="0" applyFont="1" applyFill="1" applyBorder="1" applyAlignment="1">
      <alignment horizontal="right" vertical="center" wrapText="1"/>
    </xf>
    <xf numFmtId="0" fontId="17" fillId="18" borderId="29" xfId="0" applyFont="1" applyFill="1" applyBorder="1" applyAlignment="1">
      <alignment horizontal="left" vertical="center"/>
    </xf>
    <xf numFmtId="0" fontId="0" fillId="18" borderId="29" xfId="0" applyFill="1" applyBorder="1" applyAlignment="1">
      <alignment vertical="center"/>
    </xf>
    <xf numFmtId="0" fontId="17" fillId="18" borderId="103" xfId="0" applyFont="1" applyFill="1" applyBorder="1" applyAlignment="1">
      <alignment vertical="center" wrapText="1"/>
    </xf>
    <xf numFmtId="0" fontId="0" fillId="0" borderId="34" xfId="0" applyBorder="1" applyAlignment="1">
      <alignment vertical="center"/>
    </xf>
    <xf numFmtId="0" fontId="0" fillId="0" borderId="31" xfId="0" applyBorder="1" applyAlignment="1">
      <alignment vertical="center"/>
    </xf>
    <xf numFmtId="166" fontId="29" fillId="0" borderId="31" xfId="0" applyNumberFormat="1" applyFont="1" applyBorder="1"/>
    <xf numFmtId="0" fontId="0" fillId="0" borderId="32" xfId="0" applyBorder="1" applyAlignment="1">
      <alignment vertical="center"/>
    </xf>
    <xf numFmtId="166" fontId="29" fillId="0" borderId="28" xfId="0" applyNumberFormat="1" applyFont="1" applyBorder="1"/>
    <xf numFmtId="0" fontId="19" fillId="3" borderId="28" xfId="0" applyFont="1" applyFill="1" applyBorder="1" applyAlignment="1">
      <alignment horizontal="centerContinuous" vertical="center" wrapText="1"/>
    </xf>
    <xf numFmtId="0" fontId="19" fillId="3" borderId="19" xfId="0" applyFont="1" applyFill="1" applyBorder="1" applyAlignment="1">
      <alignment horizontal="centerContinuous" vertical="center" wrapText="1"/>
    </xf>
    <xf numFmtId="0" fontId="1" fillId="12" borderId="6" xfId="0" applyFont="1" applyFill="1" applyBorder="1" applyAlignment="1">
      <alignment horizontal="center" wrapText="1"/>
    </xf>
    <xf numFmtId="0" fontId="10" fillId="0" borderId="0" xfId="0" applyFont="1"/>
    <xf numFmtId="0" fontId="89" fillId="0" borderId="0" xfId="0" applyFont="1" applyBorder="1" applyAlignment="1"/>
    <xf numFmtId="39" fontId="16" fillId="0" borderId="0" xfId="0" applyNumberFormat="1" applyFont="1"/>
    <xf numFmtId="0" fontId="20" fillId="0" borderId="0" xfId="0" applyFont="1" applyAlignment="1">
      <alignment horizontal="left" vertical="center" wrapText="1"/>
    </xf>
    <xf numFmtId="0" fontId="10" fillId="0" borderId="31" xfId="0" applyFont="1" applyBorder="1" applyAlignment="1" applyProtection="1">
      <alignment horizontal="left" vertical="top" wrapText="1"/>
      <protection locked="0"/>
    </xf>
    <xf numFmtId="39" fontId="0" fillId="0" borderId="6" xfId="0" applyNumberFormat="1" applyBorder="1"/>
    <xf numFmtId="0" fontId="6" fillId="0" borderId="28" xfId="0" applyFont="1" applyBorder="1" applyAlignment="1">
      <alignment vertical="center"/>
    </xf>
    <xf numFmtId="0" fontId="55" fillId="0" borderId="0" xfId="0" applyFont="1" applyAlignment="1">
      <alignment horizontal="center" vertical="center" wrapText="1"/>
    </xf>
    <xf numFmtId="0" fontId="6" fillId="0" borderId="52" xfId="0" applyFont="1" applyBorder="1" applyAlignment="1">
      <alignment horizontal="center" vertical="center"/>
    </xf>
    <xf numFmtId="0" fontId="84" fillId="0" borderId="0" xfId="0" applyFont="1" applyAlignment="1">
      <alignment horizontal="left" vertical="center"/>
    </xf>
    <xf numFmtId="0" fontId="1" fillId="0" borderId="7" xfId="0" applyFont="1" applyBorder="1" applyAlignment="1">
      <alignment horizontal="right" vertical="center"/>
    </xf>
    <xf numFmtId="0" fontId="6" fillId="3" borderId="0" xfId="0" applyFont="1" applyFill="1" applyAlignment="1">
      <alignment horizontal="left"/>
    </xf>
    <xf numFmtId="0" fontId="6" fillId="3" borderId="0" xfId="0" applyFont="1" applyFill="1" applyAlignment="1">
      <alignment vertical="center" wrapText="1"/>
    </xf>
    <xf numFmtId="0" fontId="0" fillId="0" borderId="0" xfId="0" applyFill="1" applyAlignment="1">
      <alignment horizontal="left"/>
    </xf>
    <xf numFmtId="0" fontId="6" fillId="0" borderId="0" xfId="0" applyFont="1" applyFill="1" applyAlignment="1">
      <alignment vertical="center" wrapText="1"/>
    </xf>
    <xf numFmtId="0" fontId="7" fillId="2" borderId="0" xfId="0" applyFont="1" applyFill="1" applyBorder="1" applyAlignment="1">
      <alignment horizontal="right" vertical="center" wrapText="1"/>
    </xf>
    <xf numFmtId="0" fontId="19" fillId="0" borderId="0" xfId="0" applyFont="1" applyBorder="1" applyAlignment="1">
      <alignment vertical="center" wrapText="1"/>
    </xf>
    <xf numFmtId="0" fontId="7" fillId="2" borderId="104" xfId="0" applyFont="1" applyFill="1" applyBorder="1" applyAlignment="1">
      <alignment horizontal="right" vertical="center" wrapText="1"/>
    </xf>
    <xf numFmtId="0" fontId="19" fillId="0" borderId="105" xfId="0" applyFont="1" applyBorder="1" applyAlignment="1">
      <alignment vertical="center" wrapText="1"/>
    </xf>
    <xf numFmtId="0" fontId="7" fillId="2" borderId="7" xfId="0" applyFont="1" applyFill="1" applyBorder="1" applyAlignment="1">
      <alignment horizontal="right" vertical="center" wrapText="1"/>
    </xf>
    <xf numFmtId="0" fontId="19" fillId="0" borderId="20" xfId="0" applyFont="1" applyBorder="1" applyAlignment="1">
      <alignment vertical="center" wrapText="1"/>
    </xf>
    <xf numFmtId="164" fontId="0" fillId="3" borderId="0" xfId="0" applyNumberFormat="1" applyFill="1" applyBorder="1" applyAlignment="1">
      <alignment horizontal="left"/>
    </xf>
    <xf numFmtId="0" fontId="16" fillId="0" borderId="38" xfId="0" applyFont="1" applyBorder="1" applyAlignment="1">
      <alignment vertical="center"/>
    </xf>
    <xf numFmtId="0" fontId="76" fillId="0" borderId="52" xfId="0" applyFont="1" applyFill="1" applyBorder="1" applyAlignment="1">
      <alignment horizontal="left" vertical="center" wrapText="1"/>
    </xf>
    <xf numFmtId="0" fontId="76" fillId="0" borderId="56" xfId="0" applyFont="1" applyFill="1" applyBorder="1" applyAlignment="1">
      <alignment horizontal="left" vertical="center" wrapText="1"/>
    </xf>
    <xf numFmtId="0" fontId="91" fillId="0" borderId="51" xfId="0" applyFont="1" applyFill="1" applyBorder="1" applyAlignment="1">
      <alignment horizontal="left" vertical="center" wrapText="1"/>
    </xf>
    <xf numFmtId="0" fontId="78" fillId="0" borderId="52" xfId="0" applyFont="1" applyBorder="1" applyAlignment="1" applyProtection="1"/>
    <xf numFmtId="0" fontId="19" fillId="0" borderId="0" xfId="0" applyFont="1" applyAlignment="1">
      <alignment horizontal="left" vertical="center" wrapText="1" indent="1"/>
    </xf>
    <xf numFmtId="0" fontId="19" fillId="0" borderId="0" xfId="0" applyFont="1" applyAlignment="1">
      <alignment horizontal="right" vertical="center"/>
    </xf>
    <xf numFmtId="0" fontId="19" fillId="25" borderId="0" xfId="0" applyFont="1" applyFill="1" applyBorder="1" applyAlignment="1">
      <alignment vertical="center"/>
    </xf>
    <xf numFmtId="0" fontId="19" fillId="0" borderId="52" xfId="0" applyFont="1" applyFill="1" applyBorder="1" applyAlignment="1">
      <alignment horizontal="left" vertical="center" wrapText="1"/>
    </xf>
    <xf numFmtId="0" fontId="78" fillId="0" borderId="51" xfId="0" applyFont="1" applyBorder="1" applyAlignment="1" applyProtection="1"/>
    <xf numFmtId="0" fontId="19" fillId="0" borderId="53" xfId="0" applyFont="1" applyFill="1" applyBorder="1" applyAlignment="1">
      <alignment horizontal="left" vertical="center" wrapText="1"/>
    </xf>
    <xf numFmtId="0" fontId="8" fillId="0" borderId="0" xfId="0" applyFont="1" applyAlignment="1">
      <alignment horizontal="right"/>
    </xf>
    <xf numFmtId="0" fontId="10" fillId="0" borderId="0"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5" fillId="0" borderId="0" xfId="0" applyFont="1" applyFill="1" applyAlignment="1">
      <alignment vertical="center" wrapText="1"/>
    </xf>
    <xf numFmtId="0" fontId="19" fillId="0" borderId="0" xfId="0" applyFont="1" applyAlignment="1">
      <alignment horizontal="left"/>
    </xf>
    <xf numFmtId="0" fontId="0" fillId="0" borderId="0" xfId="0" applyAlignment="1"/>
    <xf numFmtId="0" fontId="7" fillId="18" borderId="29" xfId="0" applyFont="1" applyFill="1" applyBorder="1" applyAlignment="1">
      <alignment horizontal="right" vertical="center" wrapText="1"/>
    </xf>
    <xf numFmtId="0" fontId="19" fillId="18" borderId="29" xfId="0" applyFont="1" applyFill="1" applyBorder="1" applyAlignment="1">
      <alignment horizontal="left" vertical="center"/>
    </xf>
    <xf numFmtId="0" fontId="3" fillId="18" borderId="29" xfId="0" applyFont="1" applyFill="1" applyBorder="1" applyAlignment="1">
      <alignment vertical="center"/>
    </xf>
    <xf numFmtId="0" fontId="19" fillId="18" borderId="103" xfId="0" applyFont="1" applyFill="1" applyBorder="1" applyAlignment="1">
      <alignment vertical="center" wrapText="1"/>
    </xf>
    <xf numFmtId="0" fontId="0" fillId="0" borderId="0" xfId="0" applyAlignment="1"/>
    <xf numFmtId="0" fontId="1" fillId="0" borderId="0" xfId="0" applyFont="1" applyAlignment="1">
      <alignment horizontal="right"/>
    </xf>
    <xf numFmtId="0" fontId="8" fillId="0" borderId="0" xfId="0" applyFont="1" applyAlignment="1">
      <alignment horizontal="centerContinuous"/>
    </xf>
    <xf numFmtId="0" fontId="0" fillId="0" borderId="0" xfId="0" applyAlignment="1">
      <alignment horizontal="centerContinuous"/>
    </xf>
    <xf numFmtId="0" fontId="0" fillId="21" borderId="31" xfId="0" applyFill="1" applyBorder="1" applyAlignment="1">
      <alignment horizontal="centerContinuous"/>
    </xf>
    <xf numFmtId="0" fontId="0" fillId="21" borderId="28" xfId="0" applyFill="1" applyBorder="1" applyAlignment="1">
      <alignment horizontal="centerContinuous"/>
    </xf>
    <xf numFmtId="0" fontId="7" fillId="0" borderId="0" xfId="0" applyFont="1" applyAlignment="1">
      <alignment horizontal="centerContinuous"/>
    </xf>
    <xf numFmtId="0" fontId="7" fillId="0" borderId="0" xfId="0" applyFont="1" applyAlignment="1">
      <alignment horizontal="right"/>
    </xf>
    <xf numFmtId="0" fontId="7" fillId="0" borderId="0" xfId="0" applyFont="1"/>
    <xf numFmtId="6" fontId="8" fillId="0" borderId="0" xfId="0" applyNumberFormat="1" applyFont="1"/>
    <xf numFmtId="38" fontId="8" fillId="0" borderId="0" xfId="0" applyNumberFormat="1" applyFont="1"/>
    <xf numFmtId="6" fontId="8" fillId="0" borderId="20" xfId="0" applyNumberFormat="1" applyFont="1" applyBorder="1"/>
    <xf numFmtId="6" fontId="8" fillId="0" borderId="0" xfId="0" applyNumberFormat="1" applyFont="1" applyBorder="1"/>
    <xf numFmtId="0" fontId="3" fillId="0" borderId="0" xfId="0" applyFont="1" applyAlignment="1">
      <alignment horizontal="right"/>
    </xf>
    <xf numFmtId="6" fontId="7" fillId="0" borderId="20" xfId="0" applyNumberFormat="1" applyFont="1" applyBorder="1"/>
    <xf numFmtId="0" fontId="8"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xf>
    <xf numFmtId="3" fontId="0" fillId="0" borderId="0" xfId="0" applyNumberFormat="1"/>
    <xf numFmtId="164" fontId="0" fillId="0" borderId="0" xfId="0" applyNumberFormat="1"/>
    <xf numFmtId="0" fontId="8" fillId="0" borderId="0" xfId="0" applyFont="1" applyFill="1"/>
    <xf numFmtId="0" fontId="4" fillId="0" borderId="0" xfId="0" applyFont="1"/>
    <xf numFmtId="0" fontId="3" fillId="0" borderId="0" xfId="0" applyFont="1" applyFill="1" applyAlignment="1">
      <alignment horizontal="right"/>
    </xf>
    <xf numFmtId="6" fontId="0" fillId="0" borderId="0" xfId="0" applyNumberFormat="1"/>
    <xf numFmtId="0" fontId="1" fillId="0" borderId="0" xfId="0" applyFont="1" applyFill="1" applyAlignment="1">
      <alignment horizontal="right"/>
    </xf>
    <xf numFmtId="0" fontId="78" fillId="0" borderId="0" xfId="0" applyFont="1" applyFill="1" applyAlignment="1"/>
    <xf numFmtId="0" fontId="98" fillId="0" borderId="0" xfId="0" applyFont="1" applyFill="1" applyAlignment="1"/>
    <xf numFmtId="0" fontId="3" fillId="21" borderId="20" xfId="0" applyFont="1" applyFill="1" applyBorder="1" applyAlignment="1">
      <alignment horizontal="center" vertical="center" wrapText="1"/>
    </xf>
    <xf numFmtId="164" fontId="8" fillId="0" borderId="37" xfId="0" applyNumberFormat="1" applyFont="1" applyFill="1" applyBorder="1" applyProtection="1">
      <protection locked="0"/>
    </xf>
    <xf numFmtId="0" fontId="3" fillId="0" borderId="7" xfId="0" applyFont="1" applyFill="1" applyBorder="1" applyAlignment="1">
      <alignment horizontal="right"/>
    </xf>
    <xf numFmtId="164" fontId="24" fillId="0" borderId="86" xfId="0" applyNumberFormat="1" applyFont="1" applyBorder="1" applyAlignment="1" applyProtection="1">
      <alignment horizontal="right"/>
    </xf>
    <xf numFmtId="164" fontId="78" fillId="0" borderId="81" xfId="0" applyNumberFormat="1" applyFont="1" applyBorder="1" applyAlignment="1" applyProtection="1">
      <alignment horizontal="right"/>
    </xf>
    <xf numFmtId="164" fontId="24" fillId="0" borderId="106" xfId="0" applyNumberFormat="1" applyFont="1" applyBorder="1" applyAlignment="1" applyProtection="1">
      <alignment horizontal="right"/>
    </xf>
    <xf numFmtId="164" fontId="78" fillId="21" borderId="94" xfId="0" applyNumberFormat="1" applyFont="1" applyFill="1" applyBorder="1" applyAlignment="1" applyProtection="1">
      <alignment horizontal="right"/>
    </xf>
    <xf numFmtId="164" fontId="78" fillId="21" borderId="86" xfId="0" applyNumberFormat="1" applyFont="1" applyFill="1" applyBorder="1" applyAlignment="1" applyProtection="1">
      <alignment horizontal="right"/>
    </xf>
    <xf numFmtId="0" fontId="3" fillId="21" borderId="8" xfId="0" applyFont="1" applyFill="1" applyBorder="1" applyAlignment="1">
      <alignment horizontal="center" vertical="center" wrapText="1"/>
    </xf>
    <xf numFmtId="0" fontId="1" fillId="0" borderId="9" xfId="0" applyFont="1" applyFill="1" applyBorder="1" applyAlignment="1">
      <alignment horizontal="left" wrapText="1"/>
    </xf>
    <xf numFmtId="0" fontId="92" fillId="3" borderId="18" xfId="0" applyFont="1" applyFill="1" applyBorder="1" applyAlignment="1">
      <alignment horizontal="center"/>
    </xf>
    <xf numFmtId="164" fontId="92" fillId="3" borderId="18" xfId="0" applyNumberFormat="1" applyFont="1" applyFill="1" applyBorder="1"/>
    <xf numFmtId="0" fontId="3" fillId="0" borderId="6" xfId="0" applyFont="1" applyFill="1" applyBorder="1" applyAlignment="1">
      <alignment horizontal="left" wrapText="1"/>
    </xf>
    <xf numFmtId="0" fontId="29" fillId="0" borderId="0" xfId="0" applyFont="1" applyBorder="1" applyAlignment="1" applyProtection="1">
      <alignment vertical="top" wrapText="1"/>
      <protection locked="0"/>
    </xf>
    <xf numFmtId="0" fontId="29" fillId="0" borderId="0" xfId="0" applyFont="1" applyBorder="1" applyAlignment="1" applyProtection="1">
      <alignment wrapText="1"/>
      <protection locked="0"/>
    </xf>
    <xf numFmtId="0" fontId="2" fillId="3" borderId="6" xfId="0" applyFont="1" applyFill="1" applyBorder="1" applyAlignment="1">
      <alignment horizontal="center"/>
    </xf>
    <xf numFmtId="164" fontId="4" fillId="0" borderId="6" xfId="0" applyNumberFormat="1" applyFont="1" applyBorder="1"/>
    <xf numFmtId="164" fontId="7" fillId="0" borderId="107" xfId="0" applyNumberFormat="1" applyFont="1" applyBorder="1"/>
    <xf numFmtId="0" fontId="3" fillId="13" borderId="7" xfId="0" applyFont="1" applyFill="1" applyBorder="1" applyAlignment="1">
      <alignment vertical="center" wrapText="1"/>
    </xf>
    <xf numFmtId="0" fontId="0" fillId="21" borderId="20" xfId="0" applyFill="1" applyBorder="1"/>
    <xf numFmtId="0" fontId="29" fillId="21" borderId="1" xfId="0" applyFont="1" applyFill="1" applyBorder="1" applyAlignment="1" applyProtection="1">
      <alignment wrapText="1"/>
      <protection locked="0"/>
    </xf>
    <xf numFmtId="0" fontId="3" fillId="21" borderId="6" xfId="0" applyFont="1" applyFill="1" applyBorder="1" applyAlignment="1">
      <alignment horizontal="left" vertical="center" wrapText="1"/>
    </xf>
    <xf numFmtId="0" fontId="3" fillId="21" borderId="28" xfId="0" applyFont="1" applyFill="1" applyBorder="1" applyAlignment="1">
      <alignment horizontal="centerContinuous" vertical="center" wrapText="1"/>
    </xf>
    <xf numFmtId="0" fontId="3" fillId="21" borderId="19" xfId="0" applyFont="1" applyFill="1" applyBorder="1" applyAlignment="1">
      <alignment horizontal="left" vertical="center" wrapText="1"/>
    </xf>
    <xf numFmtId="0" fontId="1" fillId="3" borderId="6" xfId="0" applyFont="1" applyFill="1" applyBorder="1" applyAlignment="1">
      <alignment horizontal="center" wrapText="1"/>
    </xf>
    <xf numFmtId="164" fontId="92" fillId="3" borderId="6" xfId="0" applyNumberFormat="1" applyFont="1" applyFill="1" applyBorder="1" applyAlignment="1" applyProtection="1">
      <alignment horizontal="center" wrapText="1"/>
      <protection locked="0"/>
    </xf>
    <xf numFmtId="164" fontId="1" fillId="3" borderId="1" xfId="0" applyNumberFormat="1" applyFont="1" applyFill="1" applyBorder="1" applyAlignment="1" applyProtection="1">
      <alignment horizontal="center"/>
      <protection locked="0"/>
    </xf>
    <xf numFmtId="164" fontId="7" fillId="0" borderId="6" xfId="0" applyNumberFormat="1" applyFont="1" applyFill="1" applyBorder="1" applyProtection="1">
      <protection locked="0"/>
    </xf>
    <xf numFmtId="0" fontId="34" fillId="21" borderId="20" xfId="0" applyFont="1" applyFill="1" applyBorder="1" applyAlignment="1">
      <alignment wrapText="1"/>
    </xf>
    <xf numFmtId="0" fontId="93" fillId="21" borderId="20" xfId="0" applyFont="1" applyFill="1" applyBorder="1" applyAlignment="1">
      <alignment horizontal="center"/>
    </xf>
    <xf numFmtId="164" fontId="94" fillId="21" borderId="1" xfId="0" applyNumberFormat="1" applyFont="1" applyFill="1" applyBorder="1"/>
    <xf numFmtId="0" fontId="3" fillId="3" borderId="6" xfId="0" applyFont="1" applyFill="1" applyBorder="1" applyAlignment="1">
      <alignment horizontal="center"/>
    </xf>
    <xf numFmtId="0" fontId="1" fillId="3" borderId="7" xfId="0" applyFont="1" applyFill="1" applyBorder="1" applyAlignment="1">
      <alignment wrapText="1"/>
    </xf>
    <xf numFmtId="0" fontId="1" fillId="2" borderId="6" xfId="0" applyFont="1" applyFill="1" applyBorder="1" applyAlignment="1">
      <alignment wrapText="1"/>
    </xf>
    <xf numFmtId="0" fontId="3" fillId="0" borderId="7" xfId="0" applyFont="1" applyFill="1" applyBorder="1" applyAlignment="1">
      <alignment wrapText="1"/>
    </xf>
    <xf numFmtId="0" fontId="1" fillId="21" borderId="7" xfId="0" applyFont="1" applyFill="1" applyBorder="1" applyAlignment="1">
      <alignment wrapText="1"/>
    </xf>
    <xf numFmtId="164" fontId="1" fillId="0" borderId="6" xfId="0" applyNumberFormat="1" applyFont="1" applyFill="1" applyBorder="1" applyProtection="1">
      <protection locked="0"/>
    </xf>
    <xf numFmtId="164" fontId="3" fillId="0" borderId="6" xfId="0" applyNumberFormat="1" applyFont="1" applyFill="1" applyBorder="1" applyProtection="1"/>
    <xf numFmtId="164" fontId="1" fillId="0" borderId="6" xfId="0" applyNumberFormat="1" applyFont="1" applyFill="1" applyBorder="1" applyProtection="1"/>
    <xf numFmtId="6" fontId="8" fillId="0" borderId="0" xfId="0" applyNumberFormat="1" applyFont="1" applyFill="1"/>
    <xf numFmtId="0" fontId="0" fillId="3" borderId="17" xfId="0" applyFill="1" applyBorder="1" applyAlignment="1">
      <alignment horizontal="center"/>
    </xf>
    <xf numFmtId="164" fontId="0" fillId="3" borderId="17" xfId="0" applyNumberFormat="1" applyFill="1" applyBorder="1"/>
    <xf numFmtId="14" fontId="3" fillId="0" borderId="6" xfId="0" applyNumberFormat="1" applyFont="1" applyFill="1" applyBorder="1" applyAlignment="1" applyProtection="1">
      <alignment horizontal="center" wrapText="1"/>
      <protection locked="0"/>
    </xf>
    <xf numFmtId="0" fontId="3" fillId="0" borderId="6" xfId="0" applyFont="1" applyFill="1" applyBorder="1" applyAlignment="1">
      <alignment horizontal="center"/>
    </xf>
    <xf numFmtId="164" fontId="8" fillId="21" borderId="6" xfId="0" applyNumberFormat="1" applyFont="1" applyFill="1" applyBorder="1" applyProtection="1">
      <protection locked="0"/>
    </xf>
    <xf numFmtId="0" fontId="31" fillId="5" borderId="6"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xf>
    <xf numFmtId="0" fontId="31" fillId="5" borderId="6" xfId="0" applyFont="1" applyFill="1" applyBorder="1" applyAlignment="1">
      <alignment horizontal="center" vertical="center" wrapText="1"/>
    </xf>
    <xf numFmtId="0" fontId="1" fillId="0" borderId="7" xfId="0" applyFont="1" applyBorder="1"/>
    <xf numFmtId="0" fontId="1" fillId="0" borderId="6" xfId="0" applyFont="1" applyBorder="1" applyAlignment="1">
      <alignment horizontal="right" vertical="center"/>
    </xf>
    <xf numFmtId="0" fontId="31" fillId="5" borderId="31" xfId="0" applyFont="1" applyFill="1" applyBorder="1" applyAlignment="1">
      <alignment horizontal="center" vertical="center"/>
    </xf>
    <xf numFmtId="0" fontId="1" fillId="0" borderId="1" xfId="0" applyFont="1" applyBorder="1" applyAlignment="1">
      <alignment horizontal="right" vertical="center"/>
    </xf>
    <xf numFmtId="0" fontId="8" fillId="5" borderId="6" xfId="0" applyFont="1" applyFill="1" applyBorder="1" applyAlignment="1">
      <alignment horizontal="center" vertical="center" wrapText="1"/>
    </xf>
    <xf numFmtId="0" fontId="8" fillId="5" borderId="0" xfId="0" applyFont="1" applyFill="1" applyAlignment="1">
      <alignment horizontal="center"/>
    </xf>
    <xf numFmtId="0" fontId="1" fillId="0" borderId="7" xfId="0" applyFont="1" applyBorder="1" applyAlignment="1">
      <alignment horizontal="right" vertical="center"/>
    </xf>
    <xf numFmtId="0" fontId="0" fillId="43" borderId="0" xfId="0" applyFill="1"/>
    <xf numFmtId="0" fontId="3" fillId="43" borderId="6" xfId="0" applyFont="1" applyFill="1" applyBorder="1" applyAlignment="1">
      <alignment horizontal="center"/>
    </xf>
    <xf numFmtId="0" fontId="7" fillId="43" borderId="6" xfId="0" quotePrefix="1" applyFont="1" applyFill="1" applyBorder="1" applyAlignment="1">
      <alignment horizontal="center"/>
    </xf>
    <xf numFmtId="0" fontId="0" fillId="21" borderId="0" xfId="0" applyFill="1"/>
    <xf numFmtId="0" fontId="0" fillId="0" borderId="0" xfId="0" applyAlignment="1"/>
    <xf numFmtId="0" fontId="7" fillId="0" borderId="28" xfId="0" applyFont="1" applyBorder="1" applyAlignment="1">
      <alignment horizontal="centerContinuous"/>
    </xf>
    <xf numFmtId="38" fontId="8" fillId="21" borderId="28" xfId="0" applyNumberFormat="1" applyFont="1" applyFill="1" applyBorder="1"/>
    <xf numFmtId="38" fontId="8" fillId="0" borderId="28" xfId="0" applyNumberFormat="1" applyFont="1" applyBorder="1"/>
    <xf numFmtId="38" fontId="8" fillId="21" borderId="0" xfId="0" applyNumberFormat="1" applyFont="1" applyFill="1" applyBorder="1"/>
    <xf numFmtId="0" fontId="99" fillId="31" borderId="0" xfId="0" applyFont="1" applyFill="1"/>
    <xf numFmtId="0" fontId="100" fillId="31" borderId="0" xfId="0" applyFont="1" applyFill="1"/>
    <xf numFmtId="3" fontId="0" fillId="44" borderId="9" xfId="0" applyNumberFormat="1" applyFill="1" applyBorder="1" applyProtection="1">
      <protection locked="0"/>
    </xf>
    <xf numFmtId="6" fontId="8" fillId="44" borderId="0" xfId="0" applyNumberFormat="1" applyFont="1" applyFill="1"/>
    <xf numFmtId="38" fontId="8" fillId="44" borderId="0" xfId="0" applyNumberFormat="1" applyFont="1" applyFill="1"/>
    <xf numFmtId="6" fontId="7" fillId="0" borderId="0" xfId="0" applyNumberFormat="1" applyFont="1" applyBorder="1"/>
    <xf numFmtId="169" fontId="8" fillId="0" borderId="0" xfId="1" applyNumberFormat="1" applyFont="1"/>
    <xf numFmtId="169" fontId="8" fillId="0" borderId="0" xfId="0" applyNumberFormat="1" applyFont="1"/>
    <xf numFmtId="6" fontId="8" fillId="45" borderId="20" xfId="0" applyNumberFormat="1" applyFont="1" applyFill="1" applyBorder="1"/>
    <xf numFmtId="6" fontId="8" fillId="44" borderId="0" xfId="0" applyNumberFormat="1" applyFont="1" applyFill="1" applyProtection="1">
      <protection locked="0"/>
    </xf>
    <xf numFmtId="38" fontId="8" fillId="44" borderId="0" xfId="0" applyNumberFormat="1" applyFont="1" applyFill="1" applyProtection="1">
      <protection locked="0"/>
    </xf>
    <xf numFmtId="0" fontId="1" fillId="0" borderId="1" xfId="0" applyFont="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3" fillId="37" borderId="0" xfId="0" applyFont="1" applyFill="1" applyAlignment="1">
      <alignment horizontal="center"/>
    </xf>
    <xf numFmtId="0" fontId="0" fillId="37" borderId="0" xfId="0" applyFill="1"/>
    <xf numFmtId="0" fontId="3" fillId="37" borderId="0" xfId="0" applyFont="1" applyFill="1"/>
    <xf numFmtId="0" fontId="3" fillId="42" borderId="0" xfId="0" applyFont="1" applyFill="1" applyBorder="1" applyAlignment="1">
      <alignment horizontal="center" vertical="center"/>
    </xf>
    <xf numFmtId="0" fontId="3" fillId="0" borderId="0" xfId="0" quotePrefix="1" applyFont="1" applyFill="1" applyBorder="1" applyAlignment="1">
      <alignment horizontal="left" vertical="center"/>
    </xf>
    <xf numFmtId="0" fontId="101" fillId="46" borderId="0" xfId="0" applyFont="1" applyFill="1"/>
    <xf numFmtId="0" fontId="102" fillId="5" borderId="31" xfId="0" applyFont="1" applyFill="1" applyBorder="1" applyAlignment="1">
      <alignment vertical="center"/>
    </xf>
    <xf numFmtId="0" fontId="3" fillId="33" borderId="0" xfId="0" applyFont="1" applyFill="1"/>
    <xf numFmtId="0" fontId="0" fillId="33" borderId="0" xfId="0" applyFill="1"/>
    <xf numFmtId="0" fontId="0" fillId="33" borderId="0" xfId="0" applyFill="1" applyAlignment="1">
      <alignment horizontal="center"/>
    </xf>
    <xf numFmtId="0" fontId="1" fillId="0" borderId="0" xfId="0" applyFont="1" applyFill="1" applyBorder="1" applyAlignment="1">
      <alignment vertical="center"/>
    </xf>
    <xf numFmtId="0" fontId="3" fillId="0" borderId="0" xfId="0" applyFont="1" applyFill="1"/>
    <xf numFmtId="0" fontId="3" fillId="33" borderId="0" xfId="0" quotePrefix="1" applyFont="1" applyFill="1" applyAlignment="1">
      <alignment horizontal="center"/>
    </xf>
    <xf numFmtId="0" fontId="0" fillId="37" borderId="0" xfId="0" applyFill="1" applyAlignment="1">
      <alignment horizontal="center"/>
    </xf>
    <xf numFmtId="0" fontId="1" fillId="0" borderId="7" xfId="0" applyFont="1" applyBorder="1" applyAlignment="1">
      <alignment vertical="center"/>
    </xf>
    <xf numFmtId="0" fontId="3" fillId="37" borderId="0" xfId="0" quotePrefix="1" applyFont="1" applyFill="1" applyAlignment="1">
      <alignment horizontal="center"/>
    </xf>
    <xf numFmtId="0" fontId="0" fillId="0" borderId="31" xfId="0" applyFill="1" applyBorder="1" applyAlignment="1">
      <alignment horizontal="centerContinuous"/>
    </xf>
    <xf numFmtId="0" fontId="0" fillId="0" borderId="28" xfId="0" applyFill="1" applyBorder="1" applyAlignment="1">
      <alignment horizontal="centerContinuous"/>
    </xf>
    <xf numFmtId="0" fontId="7" fillId="0" borderId="0" xfId="0" applyFont="1" applyFill="1" applyAlignment="1">
      <alignment horizontal="right"/>
    </xf>
    <xf numFmtId="0" fontId="7" fillId="0" borderId="0" xfId="0" applyFont="1" applyFill="1" applyAlignment="1">
      <alignment horizontal="center"/>
    </xf>
    <xf numFmtId="38" fontId="8" fillId="0" borderId="0" xfId="0" applyNumberFormat="1" applyFont="1" applyFill="1"/>
    <xf numFmtId="38" fontId="8" fillId="0" borderId="0" xfId="0" applyNumberFormat="1" applyFont="1" applyFill="1" applyBorder="1"/>
    <xf numFmtId="6" fontId="7" fillId="0" borderId="0" xfId="0" applyNumberFormat="1" applyFont="1" applyFill="1" applyBorder="1"/>
    <xf numFmtId="6" fontId="8" fillId="0" borderId="0" xfId="0" applyNumberFormat="1" applyFont="1" applyFill="1" applyBorder="1"/>
    <xf numFmtId="0" fontId="8" fillId="0" borderId="0" xfId="0" applyFont="1" applyFill="1" applyAlignment="1"/>
    <xf numFmtId="0" fontId="7" fillId="0" borderId="0" xfId="0" applyFont="1" applyFill="1" applyBorder="1" applyAlignment="1"/>
    <xf numFmtId="6" fontId="0" fillId="0" borderId="0" xfId="0" applyNumberFormat="1" applyFill="1"/>
    <xf numFmtId="0" fontId="1" fillId="0" borderId="0" xfId="0" applyFont="1" applyFill="1" applyAlignment="1">
      <alignment horizontal="left" wrapText="1"/>
    </xf>
    <xf numFmtId="0" fontId="8" fillId="0" borderId="0" xfId="0" applyNumberFormat="1" applyFont="1" applyFill="1"/>
    <xf numFmtId="0" fontId="7" fillId="0" borderId="0" xfId="0" quotePrefix="1" applyNumberFormat="1" applyFont="1" applyFill="1"/>
    <xf numFmtId="0" fontId="10" fillId="46" borderId="0" xfId="0" applyFont="1" applyFill="1" applyAlignment="1"/>
    <xf numFmtId="0" fontId="0" fillId="46" borderId="0" xfId="0" applyFill="1" applyAlignment="1"/>
    <xf numFmtId="0" fontId="8" fillId="46" borderId="0" xfId="0" applyFont="1" applyFill="1" applyAlignment="1"/>
    <xf numFmtId="6" fontId="8" fillId="0" borderId="0" xfId="0" applyNumberFormat="1" applyFont="1" applyFill="1" applyAlignment="1"/>
    <xf numFmtId="0" fontId="7" fillId="0" borderId="0" xfId="0" applyFont="1" applyFill="1" applyAlignment="1"/>
    <xf numFmtId="38" fontId="8" fillId="0" borderId="0" xfId="0" applyNumberFormat="1" applyFont="1" applyFill="1" applyAlignment="1"/>
    <xf numFmtId="38" fontId="8" fillId="0" borderId="0" xfId="0" applyNumberFormat="1" applyFont="1" applyFill="1" applyBorder="1" applyAlignment="1"/>
    <xf numFmtId="6" fontId="7" fillId="0" borderId="0" xfId="0" applyNumberFormat="1" applyFont="1" applyFill="1" applyBorder="1" applyAlignment="1"/>
    <xf numFmtId="6" fontId="8" fillId="0" borderId="0" xfId="0" applyNumberFormat="1" applyFont="1" applyFill="1" applyBorder="1" applyAlignment="1"/>
    <xf numFmtId="6" fontId="0" fillId="0" borderId="0" xfId="0" applyNumberFormat="1" applyFill="1" applyAlignment="1"/>
    <xf numFmtId="0" fontId="1" fillId="0" borderId="0" xfId="0" applyFont="1" applyFill="1" applyAlignment="1">
      <alignment wrapText="1"/>
    </xf>
    <xf numFmtId="0" fontId="0" fillId="32" borderId="0" xfId="0" applyFill="1" applyAlignment="1"/>
    <xf numFmtId="0" fontId="1" fillId="32" borderId="0" xfId="0" applyFont="1" applyFill="1" applyAlignment="1"/>
    <xf numFmtId="0" fontId="0" fillId="32" borderId="0" xfId="0" applyFill="1" applyAlignment="1">
      <alignment vertical="center"/>
    </xf>
    <xf numFmtId="0" fontId="1" fillId="32" borderId="0" xfId="0" applyFont="1" applyFill="1"/>
    <xf numFmtId="0" fontId="0" fillId="0" borderId="6" xfId="0" applyNumberFormat="1" applyBorder="1" applyAlignment="1" applyProtection="1">
      <alignment horizontal="left" wrapText="1"/>
    </xf>
    <xf numFmtId="164" fontId="0" fillId="3" borderId="108" xfId="0" applyNumberFormat="1" applyFill="1" applyBorder="1"/>
    <xf numFmtId="164" fontId="0" fillId="3" borderId="109" xfId="0" applyNumberFormat="1" applyFill="1" applyBorder="1"/>
    <xf numFmtId="164" fontId="0" fillId="3" borderId="110" xfId="0" applyNumberFormat="1" applyFill="1" applyBorder="1"/>
    <xf numFmtId="164" fontId="105" fillId="0" borderId="9" xfId="3" applyNumberFormat="1" applyFont="1" applyFill="1" applyBorder="1" applyAlignment="1" applyProtection="1">
      <alignment horizontal="center" vertical="center" wrapText="1"/>
    </xf>
    <xf numFmtId="0" fontId="8" fillId="44" borderId="0" xfId="0" applyFont="1" applyFill="1" applyProtection="1">
      <protection locked="0"/>
    </xf>
    <xf numFmtId="0" fontId="78" fillId="0" borderId="0" xfId="0" applyFont="1"/>
    <xf numFmtId="0" fontId="7" fillId="2" borderId="6" xfId="0" applyFont="1" applyFill="1" applyBorder="1" applyAlignment="1" applyProtection="1">
      <alignment horizontal="center" vertical="center"/>
      <protection locked="0"/>
    </xf>
    <xf numFmtId="0" fontId="0" fillId="21" borderId="0" xfId="0" applyFill="1" applyBorder="1" applyAlignment="1">
      <alignment horizontal="centerContinuous"/>
    </xf>
    <xf numFmtId="0" fontId="0" fillId="21" borderId="0" xfId="0" applyFill="1" applyAlignment="1">
      <alignment horizontal="centerContinuous"/>
    </xf>
    <xf numFmtId="0" fontId="106" fillId="0" borderId="0" xfId="0" applyFont="1" applyFill="1" applyBorder="1" applyAlignment="1" applyProtection="1">
      <alignment horizontal="center" vertical="center"/>
    </xf>
    <xf numFmtId="0" fontId="107" fillId="0" borderId="0" xfId="0" applyFont="1" applyFill="1" applyBorder="1" applyAlignment="1" applyProtection="1">
      <alignment vertical="center" wrapText="1"/>
    </xf>
    <xf numFmtId="0" fontId="1" fillId="46" borderId="0" xfId="0" applyFont="1" applyFill="1"/>
    <xf numFmtId="0" fontId="8" fillId="46" borderId="0" xfId="0" applyFont="1" applyFill="1"/>
    <xf numFmtId="0" fontId="109" fillId="47" borderId="6" xfId="0" applyFont="1" applyFill="1" applyBorder="1" applyAlignment="1">
      <alignment horizontal="center" vertical="center" wrapText="1"/>
    </xf>
    <xf numFmtId="0" fontId="1" fillId="0" borderId="0" xfId="0" applyFont="1" applyBorder="1"/>
    <xf numFmtId="0" fontId="108" fillId="0" borderId="6" xfId="0" applyFont="1" applyBorder="1" applyProtection="1">
      <protection locked="0"/>
    </xf>
    <xf numFmtId="0" fontId="7" fillId="12" borderId="70" xfId="0" applyFont="1" applyFill="1" applyBorder="1" applyAlignment="1" applyProtection="1">
      <alignment horizontal="center" vertical="center" wrapText="1"/>
    </xf>
    <xf numFmtId="0" fontId="7" fillId="12" borderId="71" xfId="0" applyFont="1" applyFill="1" applyBorder="1" applyAlignment="1" applyProtection="1">
      <alignment horizontal="center" vertical="center" wrapText="1"/>
    </xf>
    <xf numFmtId="0" fontId="10" fillId="24" borderId="0" xfId="0" applyFont="1" applyFill="1" applyBorder="1" applyAlignment="1">
      <alignment horizontal="right" vertical="center" wrapText="1"/>
    </xf>
    <xf numFmtId="0" fontId="7" fillId="3" borderId="0" xfId="0" applyFont="1" applyFill="1" applyBorder="1" applyAlignment="1">
      <alignment horizontal="centerContinuous" vertical="center"/>
    </xf>
    <xf numFmtId="0" fontId="7" fillId="21" borderId="0" xfId="0" applyFont="1" applyFill="1" applyBorder="1" applyAlignment="1">
      <alignment horizontal="centerContinuous" vertical="center"/>
    </xf>
    <xf numFmtId="0" fontId="11" fillId="0" borderId="28" xfId="0" applyFont="1" applyBorder="1" applyAlignment="1">
      <alignment vertical="center" wrapText="1"/>
    </xf>
    <xf numFmtId="0" fontId="16" fillId="0" borderId="28" xfId="0" applyFont="1" applyBorder="1" applyAlignment="1">
      <alignment horizontal="left" vertical="center" wrapText="1"/>
    </xf>
    <xf numFmtId="0" fontId="23" fillId="0" borderId="28" xfId="0" applyFont="1" applyBorder="1" applyAlignment="1">
      <alignment horizontal="right" vertical="center"/>
    </xf>
    <xf numFmtId="0" fontId="3" fillId="0" borderId="0" xfId="0" applyFont="1" applyFill="1" applyBorder="1" applyAlignment="1">
      <alignment horizontal="left" vertical="center" wrapText="1"/>
    </xf>
    <xf numFmtId="0" fontId="0" fillId="0" borderId="17" xfId="0" applyBorder="1" applyAlignment="1"/>
    <xf numFmtId="0" fontId="8" fillId="24" borderId="6" xfId="0" applyFont="1" applyFill="1" applyBorder="1" applyAlignment="1">
      <alignment wrapText="1"/>
    </xf>
    <xf numFmtId="0" fontId="12" fillId="0" borderId="0" xfId="0" applyFont="1"/>
    <xf numFmtId="1" fontId="30" fillId="0" borderId="10" xfId="0" applyNumberFormat="1" applyFont="1" applyFill="1" applyBorder="1" applyAlignment="1">
      <alignment horizontal="center"/>
    </xf>
    <xf numFmtId="0" fontId="2" fillId="0" borderId="18" xfId="0" applyFont="1" applyFill="1" applyBorder="1" applyAlignment="1">
      <alignment horizontal="center"/>
    </xf>
    <xf numFmtId="0" fontId="19" fillId="21" borderId="37" xfId="0" applyFont="1" applyFill="1" applyBorder="1" applyAlignment="1"/>
    <xf numFmtId="0" fontId="19" fillId="21" borderId="65" xfId="0" applyFont="1" applyFill="1" applyBorder="1" applyAlignment="1"/>
    <xf numFmtId="0" fontId="7" fillId="3" borderId="7" xfId="0" applyFont="1" applyFill="1" applyBorder="1" applyAlignment="1"/>
    <xf numFmtId="0" fontId="7" fillId="3" borderId="20" xfId="0" applyFont="1" applyFill="1" applyBorder="1" applyAlignment="1"/>
    <xf numFmtId="0" fontId="32" fillId="2" borderId="16" xfId="0" applyFont="1" applyFill="1" applyBorder="1" applyAlignment="1"/>
    <xf numFmtId="0" fontId="32" fillId="0" borderId="20" xfId="0" applyFont="1" applyFill="1" applyBorder="1" applyAlignment="1">
      <alignment horizontal="right"/>
    </xf>
    <xf numFmtId="0" fontId="3" fillId="0" borderId="13"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left" wrapText="1"/>
    </xf>
    <xf numFmtId="0" fontId="9" fillId="0" borderId="0" xfId="3" applyFill="1" applyBorder="1" applyAlignment="1" applyProtection="1">
      <alignment horizontal="left" vertical="center" wrapText="1"/>
      <protection locked="0"/>
    </xf>
    <xf numFmtId="0" fontId="60" fillId="0" borderId="28" xfId="3" applyFont="1" applyFill="1" applyBorder="1" applyAlignment="1" applyProtection="1">
      <alignment horizontal="left" vertical="center" wrapText="1"/>
      <protection locked="0"/>
    </xf>
    <xf numFmtId="0" fontId="8" fillId="0" borderId="6" xfId="0" applyFont="1" applyFill="1" applyBorder="1" applyAlignment="1">
      <alignment horizontal="right" vertical="center" wrapText="1"/>
    </xf>
    <xf numFmtId="0" fontId="2" fillId="0" borderId="6" xfId="0" applyFont="1" applyFill="1" applyBorder="1" applyAlignment="1">
      <alignment wrapText="1"/>
    </xf>
    <xf numFmtId="0" fontId="0" fillId="0" borderId="6" xfId="0" applyFill="1" applyBorder="1" applyAlignment="1">
      <alignment wrapText="1"/>
    </xf>
    <xf numFmtId="0" fontId="0" fillId="0" borderId="6" xfId="0" applyFill="1" applyBorder="1"/>
    <xf numFmtId="0" fontId="1" fillId="0" borderId="6" xfId="0" applyFont="1" applyFill="1" applyBorder="1" applyAlignment="1">
      <alignment wrapText="1"/>
    </xf>
    <xf numFmtId="0" fontId="8" fillId="0" borderId="40" xfId="0" applyFont="1" applyFill="1" applyBorder="1" applyAlignment="1">
      <alignment wrapText="1"/>
    </xf>
    <xf numFmtId="10" fontId="8" fillId="0" borderId="65" xfId="0" applyNumberFormat="1" applyFont="1" applyFill="1" applyBorder="1"/>
    <xf numFmtId="0" fontId="24" fillId="0" borderId="0" xfId="0" applyFont="1" applyFill="1" applyBorder="1" applyAlignment="1">
      <alignment horizontal="left" vertical="center" wrapText="1"/>
    </xf>
    <xf numFmtId="0" fontId="24" fillId="0" borderId="0" xfId="0" applyFont="1" applyFill="1" applyBorder="1" applyAlignment="1" applyProtection="1">
      <alignment horizontal="left" vertical="top" wrapText="1"/>
      <protection locked="0"/>
    </xf>
    <xf numFmtId="164" fontId="7" fillId="0" borderId="0" xfId="0" applyNumberFormat="1" applyFont="1" applyFill="1" applyBorder="1"/>
    <xf numFmtId="164" fontId="8" fillId="0" borderId="0" xfId="0" applyNumberFormat="1" applyFont="1" applyFill="1" applyBorder="1" applyProtection="1">
      <protection locked="0"/>
    </xf>
    <xf numFmtId="14" fontId="3" fillId="0" borderId="0" xfId="0" applyNumberFormat="1" applyFont="1" applyFill="1" applyBorder="1" applyAlignment="1" applyProtection="1">
      <alignment horizontal="center" wrapText="1"/>
      <protection locked="0"/>
    </xf>
    <xf numFmtId="164" fontId="1" fillId="0" borderId="0" xfId="0" applyNumberFormat="1" applyFont="1" applyFill="1" applyBorder="1" applyProtection="1"/>
    <xf numFmtId="164" fontId="3" fillId="0" borderId="0" xfId="0" applyNumberFormat="1" applyFont="1" applyFill="1" applyBorder="1" applyProtection="1"/>
    <xf numFmtId="164" fontId="1" fillId="0" borderId="0" xfId="0" applyNumberFormat="1" applyFont="1" applyFill="1" applyBorder="1" applyProtection="1">
      <protection locked="0"/>
    </xf>
    <xf numFmtId="164" fontId="31" fillId="0" borderId="0" xfId="0" applyNumberFormat="1" applyFont="1" applyFill="1" applyBorder="1" applyAlignment="1" applyProtection="1">
      <alignment wrapText="1"/>
      <protection locked="0"/>
    </xf>
    <xf numFmtId="0" fontId="0" fillId="0" borderId="0" xfId="0" applyFill="1" applyBorder="1" applyAlignment="1" applyProtection="1">
      <alignment horizontal="left" vertical="top"/>
      <protection locked="0"/>
    </xf>
    <xf numFmtId="0" fontId="12" fillId="0" borderId="0" xfId="0" applyFont="1" applyFill="1" applyBorder="1" applyAlignment="1">
      <alignment wrapText="1"/>
    </xf>
    <xf numFmtId="164" fontId="7" fillId="0" borderId="20" xfId="0" applyNumberFormat="1" applyFont="1" applyFill="1" applyBorder="1"/>
    <xf numFmtId="164" fontId="7" fillId="0" borderId="20" xfId="0" applyNumberFormat="1" applyFont="1" applyFill="1" applyBorder="1" applyProtection="1"/>
    <xf numFmtId="164" fontId="78" fillId="0" borderId="0" xfId="0" applyNumberFormat="1" applyFont="1" applyFill="1" applyBorder="1" applyProtection="1"/>
    <xf numFmtId="164" fontId="7" fillId="0" borderId="0" xfId="0" applyNumberFormat="1" applyFont="1" applyFill="1" applyBorder="1" applyProtection="1"/>
    <xf numFmtId="0" fontId="12" fillId="0" borderId="0" xfId="0" applyFont="1" applyFill="1"/>
    <xf numFmtId="0" fontId="7" fillId="0" borderId="0" xfId="0" applyFont="1" applyFill="1" applyAlignment="1">
      <alignment horizontal="center" vertical="center"/>
    </xf>
    <xf numFmtId="0" fontId="7" fillId="0" borderId="0" xfId="0" applyFont="1" applyFill="1" applyBorder="1" applyAlignment="1">
      <alignment horizontal="center"/>
    </xf>
    <xf numFmtId="1" fontId="78" fillId="0" borderId="0" xfId="0" applyNumberFormat="1" applyFont="1" applyFill="1" applyBorder="1" applyAlignment="1" applyProtection="1">
      <alignment horizontal="center"/>
    </xf>
    <xf numFmtId="9" fontId="24" fillId="0" borderId="0" xfId="0" applyNumberFormat="1" applyFont="1" applyFill="1" applyBorder="1" applyAlignment="1">
      <alignment horizontal="center"/>
    </xf>
    <xf numFmtId="164" fontId="0" fillId="0" borderId="0" xfId="0" applyNumberFormat="1" applyFill="1" applyBorder="1"/>
    <xf numFmtId="164" fontId="8" fillId="0" borderId="0" xfId="0" applyNumberFormat="1" applyFont="1" applyFill="1" applyBorder="1"/>
    <xf numFmtId="164" fontId="8" fillId="0" borderId="0" xfId="0" applyNumberFormat="1" applyFont="1" applyFill="1" applyBorder="1" applyAlignment="1">
      <alignment horizontal="right"/>
    </xf>
    <xf numFmtId="164" fontId="8" fillId="0" borderId="0" xfId="0" applyNumberFormat="1" applyFont="1" applyFill="1" applyBorder="1" applyProtection="1"/>
    <xf numFmtId="164" fontId="7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164" fontId="7" fillId="0" borderId="0" xfId="0" applyNumberFormat="1" applyFont="1" applyFill="1" applyBorder="1" applyAlignment="1" applyProtection="1">
      <alignment horizontal="right"/>
    </xf>
    <xf numFmtId="164" fontId="8" fillId="0" borderId="0" xfId="0" applyNumberFormat="1" applyFont="1" applyFill="1" applyBorder="1" applyAlignment="1" applyProtection="1">
      <alignment horizontal="right"/>
    </xf>
    <xf numFmtId="0" fontId="8" fillId="0" borderId="0" xfId="0" applyFont="1" applyFill="1" applyBorder="1" applyProtection="1"/>
    <xf numFmtId="0" fontId="7" fillId="0" borderId="0" xfId="0" applyFont="1" applyFill="1" applyBorder="1" applyAlignment="1" applyProtection="1">
      <alignment horizontal="center"/>
    </xf>
    <xf numFmtId="9" fontId="24" fillId="0" borderId="0" xfId="0" applyNumberFormat="1" applyFont="1" applyFill="1" applyBorder="1" applyAlignment="1" applyProtection="1">
      <alignment horizontal="right"/>
    </xf>
    <xf numFmtId="0" fontId="8" fillId="0" borderId="0" xfId="0" applyFont="1" applyFill="1" applyBorder="1" applyAlignment="1" applyProtection="1">
      <alignment horizontal="center"/>
    </xf>
    <xf numFmtId="0" fontId="78" fillId="0" borderId="0" xfId="0" applyNumberFormat="1" applyFont="1" applyFill="1" applyBorder="1" applyAlignment="1" applyProtection="1">
      <alignment horizontal="right"/>
    </xf>
    <xf numFmtId="164" fontId="7" fillId="0" borderId="20" xfId="0" applyNumberFormat="1" applyFont="1" applyFill="1" applyBorder="1" applyAlignment="1" applyProtection="1">
      <alignment horizontal="right"/>
    </xf>
    <xf numFmtId="0" fontId="7" fillId="0" borderId="0" xfId="0" applyFont="1" applyFill="1" applyBorder="1" applyAlignment="1" applyProtection="1">
      <alignment horizontal="center" vertical="center" wrapText="1"/>
    </xf>
    <xf numFmtId="0" fontId="7" fillId="0" borderId="20" xfId="0" applyFont="1" applyFill="1" applyBorder="1" applyAlignment="1" applyProtection="1">
      <alignment horizontal="center"/>
    </xf>
    <xf numFmtId="164" fontId="8" fillId="0" borderId="23" xfId="0" applyNumberFormat="1" applyFont="1" applyFill="1" applyBorder="1" applyProtection="1"/>
    <xf numFmtId="0" fontId="3" fillId="0" borderId="19" xfId="0" applyFont="1" applyFill="1" applyBorder="1" applyAlignment="1" applyProtection="1">
      <alignment horizontal="center"/>
    </xf>
    <xf numFmtId="0" fontId="4" fillId="0" borderId="20" xfId="0" applyFont="1" applyFill="1" applyBorder="1" applyAlignment="1">
      <alignment horizontal="center" vertical="top" wrapText="1"/>
    </xf>
    <xf numFmtId="0" fontId="3" fillId="0" borderId="0" xfId="0" applyFont="1" applyFill="1" applyBorder="1" applyAlignment="1" applyProtection="1">
      <alignment horizontal="center"/>
    </xf>
    <xf numFmtId="164" fontId="24" fillId="0" borderId="0" xfId="0" applyNumberFormat="1" applyFont="1" applyFill="1" applyBorder="1" applyAlignment="1" applyProtection="1">
      <alignment horizontal="right"/>
    </xf>
    <xf numFmtId="0" fontId="3" fillId="0" borderId="20" xfId="0" applyFont="1" applyFill="1" applyBorder="1" applyAlignment="1" applyProtection="1">
      <alignment horizontal="center"/>
    </xf>
    <xf numFmtId="164" fontId="0" fillId="0" borderId="0" xfId="0" applyNumberFormat="1" applyFill="1" applyBorder="1" applyProtection="1"/>
    <xf numFmtId="164" fontId="8" fillId="0" borderId="0" xfId="0" applyNumberFormat="1" applyFont="1" applyFill="1" applyBorder="1" applyAlignment="1" applyProtection="1">
      <alignment horizontal="right"/>
      <protection locked="0"/>
    </xf>
    <xf numFmtId="164" fontId="1" fillId="0" borderId="0" xfId="0" applyNumberFormat="1" applyFont="1" applyFill="1" applyBorder="1" applyAlignment="1">
      <alignment horizontal="center" wrapText="1"/>
    </xf>
    <xf numFmtId="0" fontId="7" fillId="0" borderId="20" xfId="0" applyFont="1" applyFill="1" applyBorder="1" applyAlignment="1">
      <alignment horizontal="center"/>
    </xf>
    <xf numFmtId="164" fontId="0" fillId="0" borderId="17" xfId="0" applyNumberFormat="1" applyFill="1" applyBorder="1"/>
    <xf numFmtId="164" fontId="8" fillId="0" borderId="65" xfId="0" applyNumberFormat="1" applyFont="1" applyFill="1" applyBorder="1"/>
    <xf numFmtId="164" fontId="8" fillId="0" borderId="65" xfId="0" applyNumberFormat="1" applyFont="1" applyFill="1" applyBorder="1" applyProtection="1"/>
    <xf numFmtId="164" fontId="8" fillId="0" borderId="17" xfId="0" applyNumberFormat="1" applyFont="1" applyFill="1" applyBorder="1" applyProtection="1"/>
    <xf numFmtId="164" fontId="78" fillId="0" borderId="15" xfId="0" applyNumberFormat="1" applyFont="1" applyFill="1" applyBorder="1" applyAlignment="1" applyProtection="1">
      <alignment horizontal="right"/>
    </xf>
    <xf numFmtId="164" fontId="3" fillId="0" borderId="20" xfId="0" applyNumberFormat="1" applyFont="1" applyFill="1" applyBorder="1"/>
    <xf numFmtId="164" fontId="8" fillId="0" borderId="33" xfId="0" applyNumberFormat="1" applyFont="1" applyFill="1" applyBorder="1" applyProtection="1"/>
    <xf numFmtId="0" fontId="3" fillId="0" borderId="24" xfId="0" applyFont="1" applyFill="1" applyBorder="1" applyAlignment="1" applyProtection="1">
      <alignment horizontal="center"/>
    </xf>
    <xf numFmtId="164" fontId="7" fillId="0" borderId="31" xfId="0" applyNumberFormat="1" applyFont="1" applyFill="1" applyBorder="1" applyAlignment="1" applyProtection="1">
      <alignment horizontal="right"/>
    </xf>
    <xf numFmtId="164" fontId="24" fillId="0" borderId="20" xfId="0" applyNumberFormat="1" applyFont="1" applyFill="1" applyBorder="1" applyAlignment="1" applyProtection="1">
      <alignment horizontal="right"/>
    </xf>
    <xf numFmtId="164" fontId="0" fillId="0" borderId="17" xfId="0" applyNumberFormat="1" applyFill="1" applyBorder="1" applyProtection="1"/>
    <xf numFmtId="164" fontId="0" fillId="0" borderId="65" xfId="0" applyNumberFormat="1" applyFill="1" applyBorder="1"/>
    <xf numFmtId="0" fontId="6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xf>
    <xf numFmtId="0" fontId="32" fillId="0" borderId="0" xfId="0" applyFont="1" applyFill="1" applyBorder="1" applyAlignment="1">
      <alignment horizontal="center"/>
    </xf>
    <xf numFmtId="164" fontId="2" fillId="0" borderId="0" xfId="0" applyNumberFormat="1" applyFont="1" applyFill="1" applyBorder="1" applyAlignment="1">
      <alignment horizontal="right"/>
    </xf>
    <xf numFmtId="0" fontId="0" fillId="0" borderId="0" xfId="0" applyFill="1" applyBorder="1" applyAlignment="1"/>
    <xf numFmtId="164" fontId="3" fillId="0" borderId="1" xfId="0" applyNumberFormat="1" applyFont="1" applyFill="1" applyBorder="1"/>
    <xf numFmtId="0" fontId="30" fillId="0" borderId="0" xfId="0" applyFont="1" applyFill="1" applyBorder="1" applyAlignment="1">
      <alignment horizontal="left" vertical="center" wrapText="1"/>
    </xf>
    <xf numFmtId="164" fontId="3" fillId="0" borderId="0" xfId="0" applyNumberFormat="1" applyFont="1" applyFill="1" applyBorder="1"/>
    <xf numFmtId="164" fontId="0" fillId="0" borderId="31" xfId="0" applyNumberFormat="1" applyFill="1" applyBorder="1"/>
    <xf numFmtId="164" fontId="7" fillId="0" borderId="31" xfId="0" applyNumberFormat="1" applyFont="1" applyFill="1" applyBorder="1"/>
    <xf numFmtId="0" fontId="96" fillId="0" borderId="0" xfId="0" applyFont="1" applyFill="1" applyBorder="1" applyAlignment="1"/>
    <xf numFmtId="0" fontId="24" fillId="0" borderId="0" xfId="0" applyFont="1" applyFill="1" applyBorder="1" applyAlignment="1">
      <alignment horizontal="center" vertical="center" wrapText="1"/>
    </xf>
    <xf numFmtId="164" fontId="92" fillId="0" borderId="0" xfId="0" applyNumberFormat="1" applyFont="1" applyFill="1" applyBorder="1"/>
    <xf numFmtId="0" fontId="2" fillId="0" borderId="0" xfId="0" applyFont="1" applyFill="1" applyBorder="1"/>
    <xf numFmtId="0" fontId="33" fillId="0" borderId="0"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7" fillId="0" borderId="0" xfId="0" applyFont="1" applyFill="1" applyBorder="1" applyAlignment="1">
      <alignment horizontal="left" vertical="center" wrapText="1"/>
    </xf>
    <xf numFmtId="0" fontId="3" fillId="0" borderId="0" xfId="0" applyFont="1" applyFill="1" applyBorder="1" applyAlignment="1">
      <alignment horizontal="center"/>
    </xf>
    <xf numFmtId="164" fontId="94" fillId="0" borderId="0" xfId="0" applyNumberFormat="1" applyFont="1" applyFill="1" applyBorder="1"/>
    <xf numFmtId="0" fontId="34" fillId="0" borderId="0" xfId="0" applyFont="1" applyFill="1" applyBorder="1" applyAlignment="1" applyProtection="1">
      <alignment horizontal="left" vertical="top" wrapText="1"/>
      <protection locked="0"/>
    </xf>
    <xf numFmtId="0" fontId="2" fillId="0" borderId="0" xfId="0" applyFont="1" applyFill="1" applyBorder="1" applyAlignment="1">
      <alignment horizontal="center"/>
    </xf>
    <xf numFmtId="164" fontId="4" fillId="0" borderId="0" xfId="0" applyNumberFormat="1" applyFont="1" applyFill="1" applyBorder="1"/>
    <xf numFmtId="0" fontId="34" fillId="0" borderId="0" xfId="0" applyFont="1" applyFill="1" applyBorder="1" applyAlignment="1">
      <alignment horizontal="left" wrapText="1"/>
    </xf>
    <xf numFmtId="0" fontId="2" fillId="0" borderId="0" xfId="0" applyFont="1" applyFill="1" applyBorder="1" applyAlignment="1">
      <alignment horizontal="left" wrapText="1"/>
    </xf>
    <xf numFmtId="0" fontId="19" fillId="0" borderId="65" xfId="0" applyFont="1" applyFill="1" applyBorder="1" applyAlignment="1"/>
    <xf numFmtId="0" fontId="32" fillId="0" borderId="15" xfId="0" applyFont="1" applyFill="1" applyBorder="1" applyAlignment="1">
      <alignment horizontal="center"/>
    </xf>
    <xf numFmtId="164" fontId="8" fillId="0" borderId="10" xfId="0" applyNumberFormat="1" applyFont="1" applyFill="1" applyBorder="1"/>
    <xf numFmtId="164" fontId="8" fillId="0" borderId="10" xfId="0" applyNumberFormat="1" applyFont="1" applyFill="1" applyBorder="1" applyProtection="1">
      <protection locked="0"/>
    </xf>
    <xf numFmtId="0" fontId="82" fillId="0" borderId="37" xfId="3" applyNumberFormat="1" applyFont="1" applyFill="1" applyBorder="1" applyAlignment="1" applyProtection="1">
      <alignment horizontal="center" wrapText="1"/>
      <protection locked="0"/>
    </xf>
    <xf numFmtId="0" fontId="8" fillId="0" borderId="0" xfId="0" applyFont="1" applyFill="1" applyBorder="1" applyAlignment="1"/>
    <xf numFmtId="0" fontId="7" fillId="0" borderId="20" xfId="0" applyFont="1" applyFill="1" applyBorder="1" applyAlignment="1"/>
    <xf numFmtId="0" fontId="32" fillId="0" borderId="65" xfId="0" applyFont="1" applyFill="1" applyBorder="1" applyAlignment="1">
      <alignment horizontal="center"/>
    </xf>
    <xf numFmtId="0" fontId="0" fillId="0" borderId="17" xfId="0" applyFill="1" applyBorder="1" applyAlignment="1"/>
    <xf numFmtId="164" fontId="0" fillId="0" borderId="16" xfId="0" applyNumberFormat="1" applyFill="1" applyBorder="1" applyProtection="1">
      <protection locked="0"/>
    </xf>
    <xf numFmtId="164" fontId="3" fillId="0" borderId="6" xfId="0" applyNumberFormat="1" applyFont="1" applyFill="1" applyBorder="1"/>
    <xf numFmtId="164" fontId="0" fillId="0" borderId="37" xfId="0" applyNumberFormat="1" applyFill="1" applyBorder="1" applyProtection="1">
      <protection locked="0"/>
    </xf>
    <xf numFmtId="164" fontId="0" fillId="0" borderId="18" xfId="0" applyNumberFormat="1" applyFill="1" applyBorder="1" applyProtection="1">
      <protection locked="0"/>
    </xf>
    <xf numFmtId="164" fontId="0" fillId="0" borderId="16" xfId="0" applyNumberFormat="1" applyFill="1" applyBorder="1" applyAlignment="1" applyProtection="1">
      <protection locked="0"/>
    </xf>
    <xf numFmtId="164" fontId="0" fillId="0" borderId="13" xfId="0" applyNumberFormat="1" applyFill="1" applyBorder="1" applyProtection="1">
      <protection locked="0"/>
    </xf>
    <xf numFmtId="0" fontId="0" fillId="0" borderId="13" xfId="0" applyFill="1" applyBorder="1" applyAlignment="1">
      <alignment horizontal="center"/>
    </xf>
    <xf numFmtId="0" fontId="1" fillId="0" borderId="13" xfId="0" applyFont="1" applyFill="1" applyBorder="1" applyAlignment="1">
      <alignment horizontal="center"/>
    </xf>
    <xf numFmtId="164" fontId="7" fillId="0" borderId="6" xfId="0" applyNumberFormat="1" applyFont="1" applyFill="1" applyBorder="1" applyAlignment="1"/>
    <xf numFmtId="164" fontId="0" fillId="0" borderId="10" xfId="0" applyNumberFormat="1" applyFill="1" applyBorder="1"/>
    <xf numFmtId="164" fontId="0" fillId="0" borderId="22" xfId="0" applyNumberFormat="1" applyFill="1" applyBorder="1"/>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0" fillId="0" borderId="16" xfId="0" applyNumberFormat="1" applyFill="1" applyBorder="1"/>
    <xf numFmtId="0" fontId="24" fillId="0" borderId="0" xfId="0" applyFont="1" applyFill="1" applyBorder="1" applyAlignment="1">
      <alignment horizontal="center" wrapText="1"/>
    </xf>
    <xf numFmtId="164" fontId="92" fillId="0" borderId="10" xfId="0" applyNumberFormat="1" applyFont="1" applyFill="1" applyBorder="1"/>
    <xf numFmtId="0" fontId="0" fillId="0" borderId="20" xfId="0" applyFill="1" applyBorder="1"/>
    <xf numFmtId="0" fontId="0" fillId="0" borderId="31" xfId="0" applyFill="1" applyBorder="1"/>
    <xf numFmtId="0" fontId="3" fillId="0" borderId="28" xfId="0" applyFont="1" applyFill="1" applyBorder="1" applyAlignment="1">
      <alignment horizontal="centerContinuous" vertical="center" wrapText="1"/>
    </xf>
    <xf numFmtId="164" fontId="1" fillId="0" borderId="1" xfId="0" applyNumberFormat="1" applyFont="1" applyFill="1" applyBorder="1" applyAlignment="1" applyProtection="1">
      <alignment horizontal="center"/>
      <protection locked="0"/>
    </xf>
    <xf numFmtId="0" fontId="93" fillId="0" borderId="20" xfId="0" applyFont="1" applyFill="1" applyBorder="1" applyAlignment="1">
      <alignment horizontal="center"/>
    </xf>
    <xf numFmtId="164" fontId="2" fillId="0" borderId="1" xfId="0" applyNumberFormat="1" applyFont="1" applyFill="1" applyBorder="1" applyAlignment="1" applyProtection="1">
      <alignment horizontal="left" vertical="center"/>
      <protection locked="0"/>
    </xf>
    <xf numFmtId="0" fontId="1" fillId="0" borderId="1" xfId="0" applyFont="1" applyFill="1" applyBorder="1" applyAlignment="1" applyProtection="1">
      <alignment horizontal="left"/>
    </xf>
    <xf numFmtId="0" fontId="32" fillId="0" borderId="12" xfId="0" applyFont="1" applyFill="1" applyBorder="1" applyAlignment="1">
      <alignment horizontal="center"/>
    </xf>
    <xf numFmtId="0" fontId="32" fillId="0" borderId="14" xfId="0" applyFont="1" applyFill="1" applyBorder="1" applyAlignment="1">
      <alignment horizontal="center"/>
    </xf>
    <xf numFmtId="164" fontId="8" fillId="0" borderId="8" xfId="0" applyNumberFormat="1" applyFont="1" applyFill="1" applyBorder="1" applyProtection="1">
      <protection locked="0"/>
    </xf>
    <xf numFmtId="164" fontId="8" fillId="0" borderId="17" xfId="0" applyNumberFormat="1" applyFont="1" applyFill="1" applyBorder="1"/>
    <xf numFmtId="164" fontId="8" fillId="0" borderId="35" xfId="0" applyNumberFormat="1" applyFont="1" applyFill="1" applyBorder="1" applyProtection="1">
      <protection locked="0"/>
    </xf>
    <xf numFmtId="0" fontId="8" fillId="0" borderId="17" xfId="0" applyFont="1" applyFill="1" applyBorder="1" applyAlignment="1"/>
    <xf numFmtId="0" fontId="32" fillId="0" borderId="25" xfId="0" applyFont="1" applyFill="1" applyBorder="1" applyAlignment="1">
      <alignment horizontal="center"/>
    </xf>
    <xf numFmtId="164" fontId="0" fillId="0" borderId="8" xfId="0" applyNumberFormat="1" applyFill="1" applyBorder="1" applyProtection="1">
      <protection locked="0"/>
    </xf>
    <xf numFmtId="164" fontId="8" fillId="0" borderId="18" xfId="0" applyNumberFormat="1" applyFont="1" applyFill="1" applyBorder="1" applyAlignment="1" applyProtection="1">
      <alignment wrapText="1"/>
      <protection locked="0"/>
    </xf>
    <xf numFmtId="164" fontId="0" fillId="0" borderId="8" xfId="0" applyNumberFormat="1" applyFill="1" applyBorder="1"/>
    <xf numFmtId="164" fontId="0" fillId="0" borderId="109" xfId="0" applyNumberFormat="1" applyFill="1" applyBorder="1"/>
    <xf numFmtId="0" fontId="35" fillId="0" borderId="20" xfId="0" applyFont="1" applyFill="1" applyBorder="1" applyAlignment="1">
      <alignment horizontal="left" vertical="center" wrapText="1"/>
    </xf>
    <xf numFmtId="164" fontId="0" fillId="0" borderId="9" xfId="0" applyNumberFormat="1" applyFill="1" applyBorder="1"/>
    <xf numFmtId="164" fontId="0" fillId="0" borderId="37" xfId="0" applyNumberFormat="1" applyFill="1" applyBorder="1"/>
    <xf numFmtId="164" fontId="92" fillId="0" borderId="18" xfId="0" applyNumberFormat="1" applyFont="1" applyFill="1" applyBorder="1"/>
    <xf numFmtId="164" fontId="7" fillId="0" borderId="16" xfId="0" applyNumberFormat="1" applyFont="1" applyFill="1" applyBorder="1"/>
    <xf numFmtId="164" fontId="92" fillId="0" borderId="1" xfId="0" applyNumberFormat="1" applyFont="1" applyFill="1" applyBorder="1" applyAlignment="1" applyProtection="1">
      <alignment horizontal="center" wrapText="1"/>
      <protection locked="0"/>
    </xf>
    <xf numFmtId="0" fontId="34" fillId="0" borderId="20" xfId="0" applyFont="1" applyFill="1" applyBorder="1" applyAlignment="1">
      <alignment wrapText="1"/>
    </xf>
    <xf numFmtId="0" fontId="34" fillId="0" borderId="1" xfId="0" applyFont="1" applyFill="1" applyBorder="1" applyAlignment="1">
      <alignment horizontal="left" wrapText="1"/>
    </xf>
    <xf numFmtId="164" fontId="24" fillId="0" borderId="6" xfId="0" applyNumberFormat="1" applyFont="1" applyFill="1" applyBorder="1"/>
    <xf numFmtId="0" fontId="0" fillId="0" borderId="17" xfId="0" applyFill="1" applyBorder="1"/>
    <xf numFmtId="0" fontId="8" fillId="0" borderId="0" xfId="0" applyFont="1" applyFill="1" applyBorder="1" applyAlignment="1">
      <alignment horizontal="center"/>
    </xf>
    <xf numFmtId="0" fontId="8" fillId="0" borderId="17" xfId="0" applyFont="1"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horizontal="center"/>
    </xf>
    <xf numFmtId="0" fontId="32" fillId="0" borderId="17" xfId="0" applyFont="1" applyFill="1" applyBorder="1" applyAlignment="1"/>
    <xf numFmtId="0" fontId="0" fillId="0" borderId="8" xfId="0" applyFill="1" applyBorder="1" applyAlignment="1">
      <alignment horizontal="center"/>
    </xf>
    <xf numFmtId="0" fontId="3" fillId="0" borderId="12" xfId="0" applyFont="1" applyFill="1" applyBorder="1" applyAlignment="1">
      <alignment horizontal="center"/>
    </xf>
    <xf numFmtId="0" fontId="1" fillId="0" borderId="12" xfId="0" applyFont="1" applyFill="1" applyBorder="1" applyAlignment="1">
      <alignment horizontal="center" wrapText="1"/>
    </xf>
    <xf numFmtId="0" fontId="1" fillId="0" borderId="18" xfId="0" applyFont="1" applyFill="1" applyBorder="1" applyAlignment="1" applyProtection="1">
      <alignment horizontal="left" wrapText="1"/>
      <protection locked="0"/>
    </xf>
    <xf numFmtId="0" fontId="0" fillId="0" borderId="31" xfId="0" applyFill="1" applyBorder="1" applyAlignment="1">
      <alignment horizontal="center"/>
    </xf>
    <xf numFmtId="0" fontId="3" fillId="0" borderId="20" xfId="0" applyFont="1" applyFill="1" applyBorder="1" applyAlignment="1">
      <alignment horizontal="left" vertical="center" wrapText="1"/>
    </xf>
    <xf numFmtId="0" fontId="0" fillId="0" borderId="9" xfId="0" applyFill="1" applyBorder="1" applyAlignment="1" applyProtection="1">
      <alignment horizontal="left"/>
      <protection locked="0"/>
    </xf>
    <xf numFmtId="164" fontId="0" fillId="0" borderId="0" xfId="0" applyNumberFormat="1" applyFill="1" applyBorder="1" applyAlignment="1">
      <alignment horizontal="left"/>
    </xf>
    <xf numFmtId="0" fontId="0" fillId="0" borderId="9" xfId="0" applyFill="1" applyBorder="1" applyAlignment="1">
      <alignment horizontal="center"/>
    </xf>
    <xf numFmtId="0" fontId="92" fillId="0" borderId="18" xfId="0" applyFont="1" applyFill="1" applyBorder="1" applyAlignment="1">
      <alignment horizontal="center"/>
    </xf>
    <xf numFmtId="0" fontId="0" fillId="0" borderId="17" xfId="0" applyFill="1" applyBorder="1" applyAlignment="1">
      <alignment horizontal="center"/>
    </xf>
    <xf numFmtId="164" fontId="2" fillId="0" borderId="0" xfId="0" applyNumberFormat="1" applyFont="1" applyFill="1" applyBorder="1"/>
    <xf numFmtId="164" fontId="4" fillId="0" borderId="0" xfId="0" applyNumberFormat="1" applyFont="1" applyFill="1" applyBorder="1" applyAlignment="1">
      <alignment wrapText="1"/>
    </xf>
    <xf numFmtId="0" fontId="29" fillId="0" borderId="0" xfId="0" applyFont="1" applyFill="1" applyBorder="1" applyAlignment="1" applyProtection="1">
      <alignment vertical="top" wrapText="1"/>
      <protection locked="0"/>
    </xf>
    <xf numFmtId="0" fontId="0" fillId="0" borderId="1" xfId="0" applyFill="1" applyBorder="1"/>
    <xf numFmtId="0" fontId="1" fillId="0" borderId="6" xfId="0" applyFont="1" applyFill="1" applyBorder="1" applyAlignment="1">
      <alignment horizontal="center" wrapText="1"/>
    </xf>
    <xf numFmtId="0" fontId="7" fillId="0" borderId="6" xfId="0" applyFont="1" applyFill="1" applyBorder="1" applyAlignment="1">
      <alignment horizontal="right" wrapText="1"/>
    </xf>
    <xf numFmtId="0" fontId="0" fillId="0" borderId="0" xfId="0" applyFill="1" applyBorder="1" applyAlignment="1">
      <alignment horizontal="left"/>
    </xf>
    <xf numFmtId="0" fontId="0" fillId="0" borderId="10" xfId="0" applyFill="1" applyBorder="1"/>
    <xf numFmtId="0" fontId="3" fillId="0" borderId="13" xfId="0" applyFont="1" applyFill="1" applyBorder="1" applyAlignment="1">
      <alignment horizontal="center"/>
    </xf>
    <xf numFmtId="0" fontId="3" fillId="0" borderId="16" xfId="0" applyFont="1" applyFill="1" applyBorder="1" applyAlignment="1">
      <alignment horizontal="left"/>
    </xf>
    <xf numFmtId="0" fontId="1" fillId="0" borderId="18" xfId="0" applyFont="1" applyFill="1" applyBorder="1" applyAlignment="1">
      <alignment horizontal="left"/>
    </xf>
    <xf numFmtId="0" fontId="35" fillId="0" borderId="16" xfId="0" applyFont="1" applyFill="1" applyBorder="1" applyAlignment="1">
      <alignment horizontal="left"/>
    </xf>
    <xf numFmtId="0" fontId="1" fillId="0" borderId="9" xfId="0" applyFont="1" applyFill="1" applyBorder="1" applyAlignment="1">
      <alignment horizontal="left"/>
    </xf>
    <xf numFmtId="0" fontId="2" fillId="0" borderId="18" xfId="0" applyFont="1" applyFill="1" applyBorder="1" applyAlignment="1">
      <alignment horizontal="left"/>
    </xf>
    <xf numFmtId="0" fontId="3" fillId="0" borderId="16" xfId="0" applyFont="1" applyFill="1" applyBorder="1" applyAlignment="1">
      <alignment horizontal="right"/>
    </xf>
    <xf numFmtId="0" fontId="32" fillId="0" borderId="10" xfId="0" applyFont="1" applyFill="1" applyBorder="1" applyAlignment="1">
      <alignment horizontal="center"/>
    </xf>
    <xf numFmtId="0" fontId="35" fillId="0" borderId="13" xfId="0" applyFont="1" applyFill="1" applyBorder="1" applyAlignment="1">
      <alignment horizontal="left"/>
    </xf>
    <xf numFmtId="0" fontId="0" fillId="0" borderId="9" xfId="0" applyFill="1" applyBorder="1" applyAlignment="1">
      <alignment horizontal="left" wrapText="1"/>
    </xf>
    <xf numFmtId="0" fontId="0" fillId="0" borderId="9" xfId="0" applyFill="1" applyBorder="1"/>
    <xf numFmtId="0" fontId="1" fillId="0" borderId="9" xfId="0" applyFont="1" applyFill="1" applyBorder="1"/>
    <xf numFmtId="0" fontId="1" fillId="0" borderId="18" xfId="0" applyFont="1" applyFill="1" applyBorder="1"/>
    <xf numFmtId="0" fontId="36" fillId="0" borderId="13" xfId="0" applyFont="1" applyFill="1" applyBorder="1"/>
    <xf numFmtId="0" fontId="9" fillId="0" borderId="18" xfId="3" applyFill="1" applyBorder="1" applyAlignment="1" applyProtection="1">
      <protection locked="0"/>
    </xf>
    <xf numFmtId="0" fontId="0" fillId="0" borderId="18" xfId="0" applyFill="1" applyBorder="1"/>
    <xf numFmtId="0" fontId="35" fillId="0" borderId="13" xfId="0" applyFont="1" applyFill="1" applyBorder="1"/>
    <xf numFmtId="0" fontId="0" fillId="0" borderId="9" xfId="0" applyFill="1" applyBorder="1" applyAlignment="1"/>
    <xf numFmtId="0" fontId="3" fillId="0" borderId="20" xfId="0" applyFont="1" applyFill="1" applyBorder="1" applyAlignment="1">
      <alignment horizontal="right"/>
    </xf>
    <xf numFmtId="0" fontId="2" fillId="0" borderId="0" xfId="0" applyFont="1" applyFill="1" applyBorder="1" applyAlignment="1">
      <alignment horizontal="left"/>
    </xf>
    <xf numFmtId="0" fontId="2" fillId="0" borderId="18" xfId="0" applyFont="1" applyFill="1" applyBorder="1" applyAlignment="1">
      <alignment horizontal="left" wrapText="1"/>
    </xf>
    <xf numFmtId="0" fontId="32" fillId="0" borderId="8" xfId="0" applyFont="1" applyFill="1" applyBorder="1" applyAlignment="1">
      <alignment horizontal="right"/>
    </xf>
    <xf numFmtId="0" fontId="2" fillId="0" borderId="9" xfId="0" applyFont="1" applyFill="1" applyBorder="1" applyAlignment="1">
      <alignment horizontal="left"/>
    </xf>
    <xf numFmtId="0" fontId="3" fillId="0" borderId="21" xfId="0" applyFont="1" applyFill="1" applyBorder="1" applyAlignment="1">
      <alignment horizontal="right"/>
    </xf>
    <xf numFmtId="164" fontId="0" fillId="0" borderId="64" xfId="0" applyNumberFormat="1" applyFill="1" applyBorder="1"/>
    <xf numFmtId="0" fontId="3" fillId="0" borderId="8" xfId="0" applyFont="1" applyFill="1" applyBorder="1" applyAlignment="1">
      <alignment horizontal="right" wrapText="1"/>
    </xf>
    <xf numFmtId="0" fontId="3" fillId="0" borderId="8" xfId="0" applyFont="1" applyFill="1" applyBorder="1" applyAlignment="1">
      <alignment horizontal="left"/>
    </xf>
    <xf numFmtId="0" fontId="1" fillId="0" borderId="0" xfId="0" applyFont="1" applyFill="1" applyBorder="1" applyAlignment="1">
      <alignment horizontal="left" wrapText="1"/>
    </xf>
    <xf numFmtId="0" fontId="4" fillId="0" borderId="0" xfId="0" applyFont="1" applyFill="1" applyBorder="1" applyAlignment="1">
      <alignment horizontal="left" wrapText="1"/>
    </xf>
    <xf numFmtId="0" fontId="95" fillId="0" borderId="16" xfId="0" applyFont="1" applyFill="1" applyBorder="1" applyAlignment="1">
      <alignment horizontal="left" wrapText="1"/>
    </xf>
    <xf numFmtId="0" fontId="92" fillId="0" borderId="11" xfId="0" applyFont="1" applyFill="1" applyBorder="1"/>
    <xf numFmtId="0" fontId="3" fillId="0" borderId="9" xfId="0" applyFont="1" applyFill="1" applyBorder="1" applyAlignment="1">
      <alignment horizontal="left" vertical="top" wrapText="1"/>
    </xf>
    <xf numFmtId="0" fontId="32" fillId="0" borderId="20" xfId="0" applyFont="1" applyFill="1" applyBorder="1" applyAlignment="1">
      <alignment horizontal="left"/>
    </xf>
    <xf numFmtId="0" fontId="3" fillId="0" borderId="31" xfId="0" applyFont="1" applyFill="1" applyBorder="1" applyAlignment="1">
      <alignment horizontal="left"/>
    </xf>
    <xf numFmtId="0" fontId="7" fillId="0" borderId="1" xfId="0" applyFont="1" applyFill="1" applyBorder="1" applyAlignment="1">
      <alignment horizontal="left" vertical="top" wrapText="1" indent="1"/>
    </xf>
    <xf numFmtId="0" fontId="7" fillId="0" borderId="19"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3" fillId="0" borderId="20" xfId="0" applyFont="1" applyFill="1" applyBorder="1" applyAlignment="1">
      <alignment horizontal="left"/>
    </xf>
    <xf numFmtId="0" fontId="1" fillId="0" borderId="7" xfId="0" applyFont="1" applyFill="1" applyBorder="1" applyAlignment="1">
      <alignment wrapText="1"/>
    </xf>
    <xf numFmtId="0" fontId="1" fillId="0" borderId="20" xfId="0" applyFont="1" applyFill="1" applyBorder="1" applyAlignment="1">
      <alignment wrapText="1"/>
    </xf>
    <xf numFmtId="0" fontId="3" fillId="0" borderId="7" xfId="0" applyFont="1" applyFill="1" applyBorder="1" applyAlignment="1">
      <alignment vertical="center" wrapText="1"/>
    </xf>
    <xf numFmtId="0" fontId="37" fillId="0" borderId="0" xfId="0" applyFont="1" applyFill="1" applyAlignment="1">
      <alignment vertical="center"/>
    </xf>
    <xf numFmtId="0" fontId="0" fillId="0" borderId="1" xfId="0" applyFill="1" applyBorder="1" applyAlignment="1">
      <alignment horizontal="left"/>
    </xf>
    <xf numFmtId="10" fontId="1" fillId="0" borderId="1" xfId="0" applyNumberFormat="1" applyFont="1" applyFill="1" applyBorder="1" applyProtection="1">
      <protection locked="0"/>
    </xf>
    <xf numFmtId="10" fontId="0" fillId="0" borderId="1" xfId="0" applyNumberFormat="1" applyFill="1" applyBorder="1"/>
    <xf numFmtId="0" fontId="1" fillId="0" borderId="0" xfId="0" applyFont="1" applyFill="1"/>
    <xf numFmtId="0" fontId="70" fillId="0" borderId="0" xfId="0" applyFont="1" applyBorder="1" applyAlignment="1">
      <alignment horizontal="center" vertical="center" wrapText="1"/>
    </xf>
    <xf numFmtId="0" fontId="72" fillId="0" borderId="28" xfId="0" applyFont="1" applyBorder="1" applyAlignment="1" applyProtection="1">
      <alignment horizontal="center" wrapText="1"/>
    </xf>
    <xf numFmtId="0" fontId="16" fillId="0" borderId="0" xfId="0" applyFont="1" applyAlignment="1">
      <alignment vertical="center"/>
    </xf>
    <xf numFmtId="0" fontId="17" fillId="0" borderId="0" xfId="0" applyFont="1" applyAlignment="1">
      <alignment horizontal="left" wrapText="1" indent="5"/>
    </xf>
    <xf numFmtId="0" fontId="16" fillId="0" borderId="0" xfId="0" applyFont="1" applyAlignment="1">
      <alignment horizontal="left" wrapText="1" indent="2"/>
    </xf>
    <xf numFmtId="0" fontId="10" fillId="0" borderId="0" xfId="0" applyFont="1" applyBorder="1" applyAlignment="1" applyProtection="1">
      <alignment horizontal="left" vertical="top" wrapText="1"/>
      <protection locked="0"/>
    </xf>
    <xf numFmtId="0" fontId="16" fillId="0" borderId="0" xfId="0" applyFont="1" applyAlignment="1">
      <alignment horizontal="left" vertical="center" wrapText="1" indent="2"/>
    </xf>
    <xf numFmtId="0" fontId="17" fillId="0" borderId="0" xfId="0" applyFont="1" applyAlignment="1">
      <alignment horizontal="left" vertical="center" wrapText="1" indent="2"/>
    </xf>
    <xf numFmtId="0" fontId="16" fillId="0" borderId="0" xfId="0" applyFont="1" applyAlignment="1">
      <alignment horizontal="left" vertical="center" indent="2"/>
    </xf>
    <xf numFmtId="0" fontId="16" fillId="0" borderId="0" xfId="0" applyFont="1" applyFill="1" applyBorder="1" applyAlignment="1">
      <alignment vertical="top" wrapText="1"/>
    </xf>
    <xf numFmtId="0" fontId="16" fillId="0" borderId="38" xfId="0" applyFont="1" applyFill="1" applyBorder="1" applyAlignment="1">
      <alignment vertical="top" wrapText="1"/>
    </xf>
    <xf numFmtId="0" fontId="16" fillId="0" borderId="39" xfId="0" applyFont="1" applyFill="1" applyBorder="1" applyAlignment="1">
      <alignment vertical="top"/>
    </xf>
    <xf numFmtId="0" fontId="0" fillId="0" borderId="0" xfId="0" applyFill="1" applyBorder="1" applyAlignment="1">
      <alignment horizontal="center" vertical="center"/>
    </xf>
    <xf numFmtId="0" fontId="90" fillId="0" borderId="28" xfId="0" applyFont="1" applyBorder="1" applyAlignment="1">
      <alignment horizontal="centerContinuous" vertical="top" wrapText="1"/>
    </xf>
    <xf numFmtId="0" fontId="55" fillId="0" borderId="28" xfId="0" applyFont="1" applyBorder="1" applyAlignment="1">
      <alignment horizontal="centerContinuous" vertical="top" wrapText="1"/>
    </xf>
    <xf numFmtId="0" fontId="5" fillId="3" borderId="0" xfId="0" applyFont="1" applyFill="1" applyBorder="1" applyAlignment="1">
      <alignment horizontal="centerContinuous" vertical="center"/>
    </xf>
    <xf numFmtId="0" fontId="10" fillId="0" borderId="24" xfId="0" applyFont="1" applyBorder="1" applyAlignment="1" applyProtection="1">
      <alignment horizontal="center" vertical="center"/>
    </xf>
    <xf numFmtId="0" fontId="0" fillId="0" borderId="0" xfId="0" applyAlignment="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14" fontId="3" fillId="0" borderId="31" xfId="0" applyNumberFormat="1" applyFont="1" applyFill="1" applyBorder="1" applyAlignment="1">
      <alignment horizontal="right" vertical="center"/>
    </xf>
    <xf numFmtId="0" fontId="17" fillId="0" borderId="23" xfId="0" applyNumberFormat="1" applyFont="1" applyFill="1" applyBorder="1" applyAlignment="1">
      <alignment horizontal="center" vertical="center"/>
    </xf>
    <xf numFmtId="0" fontId="0" fillId="0" borderId="28" xfId="0" applyFill="1" applyBorder="1" applyAlignment="1">
      <alignment horizontal="center" vertical="center"/>
    </xf>
    <xf numFmtId="0" fontId="30" fillId="0" borderId="28" xfId="0" applyFont="1" applyFill="1" applyBorder="1" applyAlignment="1">
      <alignment horizontal="right" vertical="center"/>
    </xf>
    <xf numFmtId="14" fontId="19" fillId="0" borderId="28" xfId="0" quotePrefix="1" applyNumberFormat="1" applyFont="1" applyFill="1" applyBorder="1" applyAlignment="1">
      <alignment horizontal="center" vertical="center"/>
    </xf>
    <xf numFmtId="0" fontId="17" fillId="0" borderId="28" xfId="0" applyFont="1" applyBorder="1" applyAlignment="1">
      <alignment vertical="center"/>
    </xf>
    <xf numFmtId="14" fontId="17" fillId="0" borderId="28" xfId="0" applyNumberFormat="1" applyFont="1" applyFill="1" applyBorder="1" applyAlignment="1">
      <alignment horizontal="center" vertical="center"/>
    </xf>
    <xf numFmtId="0" fontId="19" fillId="0" borderId="2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 fillId="24" borderId="0" xfId="0" applyFont="1" applyFill="1" applyAlignment="1">
      <alignment horizontal="left"/>
    </xf>
    <xf numFmtId="0" fontId="1" fillId="24" borderId="0" xfId="0" applyFont="1" applyFill="1" applyAlignment="1">
      <alignment horizontal="center"/>
    </xf>
    <xf numFmtId="0" fontId="1" fillId="24" borderId="0" xfId="0" applyFont="1" applyFill="1" applyBorder="1" applyAlignment="1">
      <alignment horizontal="left"/>
    </xf>
    <xf numFmtId="0" fontId="110" fillId="24" borderId="0" xfId="0" applyFont="1" applyFill="1"/>
    <xf numFmtId="0" fontId="1" fillId="24" borderId="0" xfId="0" applyFont="1" applyFill="1" applyBorder="1" applyAlignment="1">
      <alignment horizontal="left" wrapText="1"/>
    </xf>
    <xf numFmtId="0" fontId="5" fillId="3" borderId="39" xfId="0" applyFont="1" applyFill="1" applyBorder="1" applyAlignment="1">
      <alignment horizontal="centerContinuous" vertical="center"/>
    </xf>
    <xf numFmtId="0" fontId="19" fillId="0" borderId="1" xfId="0" applyNumberFormat="1" applyFont="1" applyFill="1" applyBorder="1" applyAlignment="1">
      <alignment vertical="center"/>
    </xf>
    <xf numFmtId="0" fontId="30" fillId="0" borderId="23" xfId="0" applyFont="1" applyFill="1" applyBorder="1" applyAlignment="1">
      <alignment horizontal="right" vertical="center"/>
    </xf>
    <xf numFmtId="0" fontId="1" fillId="21" borderId="7" xfId="0" applyFont="1" applyFill="1" applyBorder="1" applyAlignment="1">
      <alignment vertical="top" wrapText="1"/>
    </xf>
    <xf numFmtId="0" fontId="16" fillId="0" borderId="0" xfId="0" applyFont="1" applyBorder="1" applyAlignment="1">
      <alignment horizontal="left" vertical="top" wrapText="1" indent="2"/>
    </xf>
    <xf numFmtId="0" fontId="19" fillId="0" borderId="0" xfId="0" applyFont="1" applyBorder="1" applyAlignment="1">
      <alignment horizontal="center" vertical="center" wrapText="1"/>
    </xf>
    <xf numFmtId="0" fontId="20" fillId="0" borderId="0" xfId="0" applyFont="1" applyBorder="1" applyAlignment="1" applyProtection="1">
      <alignment horizontal="center" vertical="top"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lignment horizontal="centerContinuous" vertical="center"/>
    </xf>
    <xf numFmtId="0" fontId="23" fillId="0" borderId="0" xfId="0" applyFont="1" applyFill="1" applyBorder="1" applyAlignment="1">
      <alignment horizontal="left" vertical="top" wrapText="1" indent="1"/>
    </xf>
    <xf numFmtId="0" fontId="16" fillId="0" borderId="0" xfId="0" applyFont="1" applyFill="1" applyBorder="1" applyAlignment="1" applyProtection="1">
      <alignment horizontal="left" vertical="top" wrapText="1"/>
      <protection locked="0"/>
    </xf>
    <xf numFmtId="0" fontId="19" fillId="26" borderId="51" xfId="0" applyFont="1" applyFill="1" applyBorder="1" applyAlignment="1"/>
    <xf numFmtId="0" fontId="19" fillId="26" borderId="52" xfId="0" applyFont="1" applyFill="1" applyBorder="1" applyAlignment="1"/>
    <xf numFmtId="0" fontId="19" fillId="0" borderId="0" xfId="0" applyFont="1" applyFill="1" applyBorder="1" applyAlignment="1"/>
    <xf numFmtId="0" fontId="10"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0" fillId="0" borderId="0" xfId="0" applyFill="1" applyBorder="1" applyProtection="1"/>
    <xf numFmtId="0" fontId="19" fillId="26" borderId="53" xfId="0" applyFont="1" applyFill="1" applyBorder="1" applyAlignment="1"/>
    <xf numFmtId="0" fontId="76" fillId="0" borderId="0" xfId="0" applyFont="1" applyFill="1" applyBorder="1" applyAlignment="1">
      <alignment horizontal="left" vertical="center" wrapText="1"/>
    </xf>
    <xf numFmtId="0" fontId="22" fillId="0" borderId="0" xfId="0" applyFont="1" applyFill="1" applyBorder="1" applyAlignment="1">
      <alignment horizontal="center"/>
    </xf>
    <xf numFmtId="0" fontId="0" fillId="0" borderId="6" xfId="0" applyFill="1" applyBorder="1" applyAlignment="1">
      <alignment horizontal="center" vertical="center"/>
    </xf>
    <xf numFmtId="0" fontId="62" fillId="0" borderId="4" xfId="0" applyFont="1" applyFill="1" applyBorder="1" applyAlignment="1">
      <alignment horizontal="center" vertical="center" textRotation="90" wrapText="1"/>
    </xf>
    <xf numFmtId="0" fontId="17" fillId="0" borderId="0"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0" fillId="0" borderId="47" xfId="0" applyFill="1" applyBorder="1" applyAlignment="1">
      <alignment horizontal="center" vertical="center"/>
    </xf>
    <xf numFmtId="0" fontId="0" fillId="0" borderId="60" xfId="0" applyFill="1" applyBorder="1" applyAlignment="1">
      <alignment horizontal="center" vertical="center"/>
    </xf>
    <xf numFmtId="0" fontId="6" fillId="0" borderId="7"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6" xfId="0" applyFont="1" applyFill="1" applyBorder="1" applyAlignment="1">
      <alignment horizontal="center" vertical="center" wrapText="1"/>
    </xf>
    <xf numFmtId="0" fontId="2" fillId="0" borderId="24" xfId="0" applyFont="1" applyFill="1" applyBorder="1" applyAlignment="1">
      <alignment horizontal="center" vertical="center"/>
    </xf>
    <xf numFmtId="0" fontId="10" fillId="0" borderId="27" xfId="0" applyFont="1" applyFill="1" applyBorder="1" applyAlignment="1">
      <alignment horizontal="right" vertical="center" wrapText="1"/>
    </xf>
    <xf numFmtId="0" fontId="52" fillId="0" borderId="27" xfId="0" applyFont="1" applyFill="1" applyBorder="1" applyAlignment="1">
      <alignment horizontal="right" vertical="center" textRotation="90" wrapText="1"/>
    </xf>
    <xf numFmtId="0" fontId="10" fillId="0" borderId="97" xfId="0" applyFont="1" applyFill="1" applyBorder="1" applyAlignment="1">
      <alignment horizontal="right" vertical="center" wrapText="1"/>
    </xf>
    <xf numFmtId="0" fontId="52" fillId="0" borderId="4" xfId="0" applyFont="1" applyFill="1" applyBorder="1" applyAlignment="1">
      <alignment horizontal="right" vertical="center" textRotation="90" wrapText="1"/>
    </xf>
    <xf numFmtId="0" fontId="8" fillId="0" borderId="4" xfId="0" applyFont="1" applyFill="1" applyBorder="1" applyAlignment="1">
      <alignment horizontal="right" vertical="center" wrapText="1"/>
    </xf>
    <xf numFmtId="0" fontId="53" fillId="0" borderId="4" xfId="0" applyFont="1" applyFill="1" applyBorder="1" applyAlignment="1">
      <alignment horizontal="right" vertical="center" textRotation="90" wrapText="1"/>
    </xf>
    <xf numFmtId="0" fontId="22" fillId="0" borderId="24" xfId="0" applyFont="1" applyFill="1" applyBorder="1" applyAlignment="1" applyProtection="1">
      <alignment horizontal="center" vertical="center" wrapText="1"/>
    </xf>
    <xf numFmtId="0" fontId="0" fillId="0" borderId="27" xfId="0" applyFill="1" applyBorder="1" applyAlignment="1" applyProtection="1">
      <alignment vertical="center"/>
    </xf>
    <xf numFmtId="0" fontId="17" fillId="0" borderId="27" xfId="0" applyFont="1" applyFill="1" applyBorder="1" applyAlignment="1" applyProtection="1">
      <alignment vertical="center" wrapText="1"/>
    </xf>
    <xf numFmtId="0" fontId="3" fillId="12" borderId="6" xfId="0" quotePrefix="1" applyFont="1" applyFill="1" applyBorder="1" applyAlignment="1">
      <alignment horizontal="center" vertical="center"/>
    </xf>
    <xf numFmtId="0" fontId="17" fillId="0" borderId="0" xfId="0" applyFont="1" applyAlignment="1">
      <alignment horizontal="left" wrapText="1" indent="5"/>
    </xf>
    <xf numFmtId="0" fontId="3" fillId="4" borderId="6" xfId="0" quotePrefix="1" applyFont="1" applyFill="1" applyBorder="1" applyAlignment="1">
      <alignment horizontal="center" vertical="center"/>
    </xf>
    <xf numFmtId="0" fontId="8" fillId="0" borderId="0" xfId="0" applyFont="1" applyFill="1" applyBorder="1" applyAlignment="1">
      <alignment horizontal="right" vertical="center" wrapText="1"/>
    </xf>
    <xf numFmtId="0" fontId="0" fillId="30" borderId="33" xfId="0" applyFill="1" applyBorder="1" applyAlignment="1">
      <alignment horizontal="center"/>
    </xf>
    <xf numFmtId="0" fontId="0" fillId="30" borderId="34" xfId="0" applyFill="1" applyBorder="1" applyAlignment="1">
      <alignment horizontal="center"/>
    </xf>
    <xf numFmtId="0" fontId="3" fillId="30" borderId="40" xfId="0" applyFont="1" applyFill="1" applyBorder="1" applyAlignment="1">
      <alignment horizontal="center"/>
    </xf>
    <xf numFmtId="0" fontId="0" fillId="2" borderId="33" xfId="0" applyFill="1" applyBorder="1" applyAlignment="1">
      <alignment horizontal="center" vertical="center"/>
    </xf>
    <xf numFmtId="0" fontId="77" fillId="2" borderId="44" xfId="3" applyFont="1" applyFill="1" applyBorder="1" applyAlignment="1" applyProtection="1">
      <alignment horizontal="center" vertical="center" textRotation="90" wrapText="1"/>
      <protection locked="0"/>
    </xf>
    <xf numFmtId="0" fontId="0" fillId="18" borderId="111" xfId="0" applyFill="1" applyBorder="1" applyAlignment="1">
      <alignment horizontal="center" vertical="center"/>
    </xf>
    <xf numFmtId="0" fontId="14" fillId="18" borderId="0" xfId="0" applyFont="1" applyFill="1" applyBorder="1" applyAlignment="1">
      <alignment horizontal="left" vertical="center" indent="3"/>
    </xf>
    <xf numFmtId="0" fontId="8" fillId="18" borderId="0" xfId="0" applyFont="1" applyFill="1" applyBorder="1" applyAlignment="1">
      <alignment horizontal="right" vertical="center" wrapText="1"/>
    </xf>
    <xf numFmtId="0" fontId="17" fillId="18" borderId="0" xfId="0" applyFont="1" applyFill="1" applyBorder="1" applyAlignment="1">
      <alignment horizontal="left" vertical="center"/>
    </xf>
    <xf numFmtId="0" fontId="0" fillId="18" borderId="0" xfId="0" applyFill="1" applyBorder="1" applyAlignment="1">
      <alignment vertical="center"/>
    </xf>
    <xf numFmtId="0" fontId="17" fillId="18" borderId="112" xfId="0" applyFont="1" applyFill="1" applyBorder="1" applyAlignment="1">
      <alignment vertical="center" wrapText="1"/>
    </xf>
    <xf numFmtId="0" fontId="19" fillId="0" borderId="0" xfId="0" applyFont="1" applyFill="1" applyBorder="1" applyAlignment="1" applyProtection="1">
      <alignment horizontal="center" vertical="center" wrapText="1"/>
      <protection locked="0"/>
    </xf>
    <xf numFmtId="0" fontId="17" fillId="0" borderId="0" xfId="0" applyFont="1" applyFill="1" applyBorder="1" applyAlignment="1">
      <alignment vertical="center" wrapText="1"/>
    </xf>
    <xf numFmtId="0" fontId="0" fillId="0" borderId="0" xfId="0" applyFill="1" applyBorder="1" applyAlignment="1">
      <alignment horizontal="right" vertical="center"/>
    </xf>
    <xf numFmtId="0" fontId="19" fillId="0" borderId="0" xfId="0" applyFont="1" applyFill="1" applyBorder="1" applyAlignment="1" applyProtection="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16" fillId="0" borderId="0" xfId="0" applyFont="1" applyFill="1" applyBorder="1" applyAlignment="1">
      <alignment vertical="center" wrapText="1"/>
    </xf>
    <xf numFmtId="0" fontId="0" fillId="2" borderId="7" xfId="0" applyFill="1" applyBorder="1" applyAlignment="1">
      <alignmen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22" borderId="72" xfId="0" applyFill="1" applyBorder="1" applyAlignment="1">
      <alignment horizontal="center"/>
    </xf>
    <xf numFmtId="0" fontId="4" fillId="0" borderId="6" xfId="0" applyFont="1" applyFill="1" applyBorder="1" applyAlignment="1">
      <alignment horizontal="center" vertical="center"/>
    </xf>
    <xf numFmtId="0" fontId="6" fillId="2" borderId="6" xfId="0" applyFont="1" applyFill="1" applyBorder="1" applyAlignment="1">
      <alignment vertical="center"/>
    </xf>
    <xf numFmtId="0" fontId="6" fillId="0" borderId="0" xfId="0" applyFont="1"/>
    <xf numFmtId="0" fontId="1" fillId="4" borderId="6" xfId="0" applyFont="1" applyFill="1" applyBorder="1" applyAlignment="1">
      <alignment horizontal="center"/>
    </xf>
    <xf numFmtId="0" fontId="0" fillId="0" borderId="31" xfId="0" applyBorder="1"/>
    <xf numFmtId="0" fontId="0" fillId="0" borderId="23" xfId="0" applyBorder="1"/>
    <xf numFmtId="0" fontId="10" fillId="0" borderId="0" xfId="0" applyFont="1" applyBorder="1"/>
    <xf numFmtId="0" fontId="6" fillId="0" borderId="28" xfId="0" applyFont="1" applyBorder="1"/>
    <xf numFmtId="9" fontId="3" fillId="0" borderId="19" xfId="0" applyNumberFormat="1" applyFont="1" applyBorder="1"/>
    <xf numFmtId="0" fontId="10" fillId="0" borderId="116" xfId="0" applyFont="1" applyBorder="1"/>
    <xf numFmtId="0" fontId="0" fillId="0" borderId="118" xfId="0" applyBorder="1"/>
    <xf numFmtId="14" fontId="3" fillId="0" borderId="52" xfId="0" applyNumberFormat="1" applyFont="1" applyFill="1" applyBorder="1" applyAlignment="1">
      <alignment vertical="center" wrapText="1"/>
    </xf>
    <xf numFmtId="14" fontId="7" fillId="0" borderId="119" xfId="0" quotePrefix="1" applyNumberFormat="1" applyFont="1" applyFill="1" applyBorder="1" applyAlignment="1">
      <alignment vertical="center"/>
    </xf>
    <xf numFmtId="0" fontId="3" fillId="0" borderId="120" xfId="0" applyFont="1" applyFill="1" applyBorder="1" applyAlignment="1">
      <alignment horizontal="right" vertical="center"/>
    </xf>
    <xf numFmtId="0" fontId="7" fillId="0" borderId="53" xfId="0" applyNumberFormat="1" applyFont="1" applyFill="1" applyBorder="1" applyAlignment="1">
      <alignment vertical="center"/>
    </xf>
    <xf numFmtId="0" fontId="0" fillId="0" borderId="52" xfId="0" applyBorder="1"/>
    <xf numFmtId="0" fontId="6" fillId="2" borderId="24" xfId="0" applyFont="1" applyFill="1" applyBorder="1" applyAlignment="1">
      <alignment vertical="center"/>
    </xf>
    <xf numFmtId="9" fontId="3" fillId="0" borderId="24" xfId="0" applyNumberFormat="1" applyFont="1" applyBorder="1"/>
    <xf numFmtId="0" fontId="5" fillId="21" borderId="0" xfId="0" applyFont="1" applyFill="1" applyBorder="1" applyAlignment="1">
      <alignment horizontal="centerContinuous" vertical="center"/>
    </xf>
    <xf numFmtId="0" fontId="5" fillId="21" borderId="58" xfId="0" applyFont="1" applyFill="1" applyBorder="1" applyAlignment="1">
      <alignment horizontal="centerContinuous" vertical="center"/>
    </xf>
    <xf numFmtId="0" fontId="50" fillId="0" borderId="0" xfId="0" applyFont="1" applyFill="1" applyBorder="1" applyAlignment="1">
      <alignment vertical="center"/>
    </xf>
    <xf numFmtId="0" fontId="1" fillId="30" borderId="72" xfId="0" applyFont="1" applyFill="1" applyBorder="1" applyAlignment="1">
      <alignment horizontal="center"/>
    </xf>
    <xf numFmtId="9" fontId="0" fillId="0" borderId="122" xfId="0" applyNumberFormat="1" applyBorder="1"/>
    <xf numFmtId="0" fontId="3" fillId="0" borderId="6" xfId="0" applyFont="1" applyBorder="1" applyAlignment="1">
      <alignment horizontal="center" wrapText="1"/>
    </xf>
    <xf numFmtId="0" fontId="3" fillId="0" borderId="24" xfId="0" applyFont="1" applyBorder="1"/>
    <xf numFmtId="0" fontId="6" fillId="0" borderId="34" xfId="0" applyFont="1" applyBorder="1"/>
    <xf numFmtId="0" fontId="6" fillId="0" borderId="31" xfId="0" applyFont="1" applyBorder="1"/>
    <xf numFmtId="0" fontId="10" fillId="2" borderId="20" xfId="0" applyFont="1" applyFill="1" applyBorder="1" applyAlignment="1">
      <alignment vertical="center"/>
    </xf>
    <xf numFmtId="0" fontId="10" fillId="2" borderId="116" xfId="0" applyFont="1" applyFill="1" applyBorder="1" applyAlignment="1">
      <alignment vertical="center"/>
    </xf>
    <xf numFmtId="0" fontId="10" fillId="2" borderId="117" xfId="0" applyFont="1" applyFill="1" applyBorder="1" applyAlignment="1">
      <alignment vertical="center"/>
    </xf>
    <xf numFmtId="0" fontId="0" fillId="0" borderId="122" xfId="0" applyBorder="1"/>
    <xf numFmtId="0" fontId="10" fillId="2" borderId="124" xfId="0" applyFont="1" applyFill="1" applyBorder="1" applyAlignment="1">
      <alignment vertical="center"/>
    </xf>
    <xf numFmtId="0" fontId="10" fillId="2" borderId="63" xfId="0" applyFont="1" applyFill="1" applyBorder="1" applyAlignment="1">
      <alignment vertical="center"/>
    </xf>
    <xf numFmtId="0" fontId="0" fillId="0" borderId="125" xfId="0" applyBorder="1"/>
    <xf numFmtId="0" fontId="0" fillId="0" borderId="123" xfId="0" applyBorder="1"/>
    <xf numFmtId="9" fontId="0" fillId="0" borderId="123" xfId="0" applyNumberFormat="1" applyBorder="1"/>
    <xf numFmtId="0" fontId="10" fillId="2" borderId="126" xfId="0" applyFont="1" applyFill="1" applyBorder="1" applyAlignment="1">
      <alignment vertical="center"/>
    </xf>
    <xf numFmtId="0" fontId="10" fillId="2" borderId="17" xfId="0" applyFont="1" applyFill="1" applyBorder="1" applyAlignment="1">
      <alignment vertical="center"/>
    </xf>
    <xf numFmtId="0" fontId="0" fillId="0" borderId="127" xfId="0" applyBorder="1"/>
    <xf numFmtId="0" fontId="0" fillId="0" borderId="128" xfId="0" applyBorder="1"/>
    <xf numFmtId="9" fontId="0" fillId="0" borderId="128" xfId="0" applyNumberFormat="1" applyBorder="1"/>
    <xf numFmtId="0" fontId="10" fillId="0" borderId="126" xfId="0" applyFont="1" applyBorder="1"/>
    <xf numFmtId="0" fontId="1" fillId="0" borderId="17" xfId="0" applyFont="1" applyBorder="1"/>
    <xf numFmtId="0" fontId="10" fillId="0" borderId="17" xfId="0" applyFont="1" applyBorder="1"/>
    <xf numFmtId="0" fontId="1" fillId="0" borderId="128" xfId="0" applyFont="1" applyBorder="1"/>
    <xf numFmtId="0" fontId="1" fillId="0" borderId="131" xfId="0" applyFont="1" applyBorder="1"/>
    <xf numFmtId="0" fontId="10" fillId="0" borderId="133" xfId="0" applyFont="1" applyBorder="1"/>
    <xf numFmtId="0" fontId="10" fillId="0" borderId="15" xfId="0" applyFont="1" applyBorder="1"/>
    <xf numFmtId="9" fontId="0" fillId="0" borderId="132" xfId="0" applyNumberFormat="1" applyBorder="1"/>
    <xf numFmtId="0" fontId="0" fillId="0" borderId="17" xfId="0" applyBorder="1"/>
    <xf numFmtId="0" fontId="0" fillId="0" borderId="132" xfId="0" applyBorder="1"/>
    <xf numFmtId="0" fontId="6" fillId="2" borderId="28" xfId="0" applyFont="1" applyFill="1" applyBorder="1" applyAlignment="1">
      <alignment vertical="center"/>
    </xf>
    <xf numFmtId="0" fontId="0" fillId="0" borderId="28" xfId="0" applyBorder="1"/>
    <xf numFmtId="0" fontId="14" fillId="0" borderId="28" xfId="0" applyFont="1" applyBorder="1"/>
    <xf numFmtId="0" fontId="12" fillId="0" borderId="28" xfId="0" applyFont="1" applyBorder="1"/>
    <xf numFmtId="0" fontId="6" fillId="0" borderId="32" xfId="0" applyFont="1" applyBorder="1"/>
    <xf numFmtId="0" fontId="3" fillId="0" borderId="33" xfId="0" applyFont="1" applyBorder="1" applyAlignment="1">
      <alignment horizontal="center" wrapText="1"/>
    </xf>
    <xf numFmtId="0" fontId="19" fillId="0" borderId="39" xfId="0" applyFont="1" applyBorder="1" applyAlignment="1">
      <alignment horizontal="center" vertical="center" wrapText="1"/>
    </xf>
    <xf numFmtId="0" fontId="20" fillId="0" borderId="39" xfId="0" applyFont="1" applyBorder="1" applyAlignment="1" applyProtection="1">
      <alignment horizontal="center" vertical="top" wrapText="1"/>
      <protection locked="0"/>
    </xf>
    <xf numFmtId="0" fontId="11" fillId="0" borderId="0" xfId="0" applyFont="1" applyFill="1" applyAlignment="1" applyProtection="1">
      <alignment vertical="center" wrapText="1"/>
      <protection locked="0"/>
    </xf>
    <xf numFmtId="0" fontId="39" fillId="0" borderId="0" xfId="3" applyFont="1" applyFill="1" applyAlignment="1" applyProtection="1">
      <alignment vertical="center"/>
      <protection locked="0"/>
    </xf>
    <xf numFmtId="0" fontId="46" fillId="0" borderId="0" xfId="0" applyFont="1" applyFill="1" applyAlignment="1" applyProtection="1">
      <alignment vertical="center"/>
      <protection locked="0"/>
    </xf>
    <xf numFmtId="0" fontId="11" fillId="0" borderId="0" xfId="0" applyFont="1" applyFill="1" applyAlignment="1">
      <alignment vertical="center" wrapText="1"/>
    </xf>
    <xf numFmtId="0" fontId="11" fillId="24" borderId="0" xfId="0" applyFont="1" applyFill="1" applyAlignment="1">
      <alignment vertical="center" wrapText="1"/>
    </xf>
    <xf numFmtId="0" fontId="11" fillId="0" borderId="20" xfId="0" applyFont="1" applyBorder="1" applyAlignment="1">
      <alignment vertical="center" wrapText="1"/>
    </xf>
    <xf numFmtId="0" fontId="10" fillId="40" borderId="67" xfId="0" applyNumberFormat="1" applyFont="1" applyFill="1" applyBorder="1" applyAlignment="1">
      <alignment horizontal="center" vertical="center"/>
    </xf>
    <xf numFmtId="0" fontId="10" fillId="40" borderId="28" xfId="0" applyFont="1" applyFill="1" applyBorder="1" applyAlignment="1">
      <alignment horizontal="center" vertical="center"/>
    </xf>
    <xf numFmtId="0" fontId="29" fillId="40" borderId="67" xfId="0" applyFont="1" applyFill="1" applyBorder="1" applyAlignment="1">
      <alignment horizontal="center" vertical="center" wrapText="1"/>
    </xf>
    <xf numFmtId="0" fontId="30" fillId="32" borderId="24" xfId="0" applyFont="1" applyFill="1" applyBorder="1" applyAlignment="1">
      <alignment horizontal="center" vertical="center" wrapText="1"/>
    </xf>
    <xf numFmtId="0" fontId="10" fillId="32" borderId="32" xfId="0" applyFont="1" applyFill="1" applyBorder="1" applyAlignment="1">
      <alignment horizontal="center" vertical="center"/>
    </xf>
    <xf numFmtId="0" fontId="10" fillId="32" borderId="24" xfId="0" applyFont="1" applyFill="1" applyBorder="1" applyAlignment="1">
      <alignment horizontal="center" vertical="center"/>
    </xf>
    <xf numFmtId="0" fontId="10" fillId="23" borderId="24" xfId="0" applyFont="1" applyFill="1" applyBorder="1" applyAlignment="1">
      <alignment horizontal="center" vertical="center"/>
    </xf>
    <xf numFmtId="165" fontId="3" fillId="23" borderId="32" xfId="0" applyNumberFormat="1" applyFont="1" applyFill="1" applyBorder="1" applyAlignment="1">
      <alignment horizontal="center" vertical="center" wrapText="1"/>
    </xf>
    <xf numFmtId="1" fontId="10" fillId="23" borderId="24" xfId="0" applyNumberFormat="1" applyFont="1" applyFill="1" applyBorder="1" applyAlignment="1">
      <alignment horizontal="center" vertical="center"/>
    </xf>
    <xf numFmtId="0" fontId="34" fillId="0" borderId="31" xfId="0" applyFont="1" applyFill="1" applyBorder="1" applyAlignment="1">
      <alignment horizontal="center" vertical="center"/>
    </xf>
    <xf numFmtId="49" fontId="10" fillId="0" borderId="31" xfId="0" applyNumberFormat="1"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14" fontId="10" fillId="0" borderId="31" xfId="0" applyNumberFormat="1" applyFont="1" applyFill="1" applyBorder="1" applyAlignment="1" applyProtection="1">
      <alignment horizontal="center" vertical="center"/>
      <protection locked="0"/>
    </xf>
    <xf numFmtId="165" fontId="10" fillId="0" borderId="31" xfId="0" applyNumberFormat="1" applyFont="1" applyFill="1" applyBorder="1" applyAlignment="1" applyProtection="1">
      <alignment horizontal="center" vertical="center"/>
      <protection locked="0"/>
    </xf>
    <xf numFmtId="1" fontId="10" fillId="0" borderId="31" xfId="0" applyNumberFormat="1"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pplyProtection="1">
      <alignment horizontal="left" vertical="top" wrapText="1"/>
      <protection locked="0"/>
    </xf>
    <xf numFmtId="10" fontId="10" fillId="0" borderId="31" xfId="0" applyNumberFormat="1" applyFont="1" applyFill="1" applyBorder="1" applyAlignment="1">
      <alignment horizontal="center" vertical="center"/>
    </xf>
    <xf numFmtId="0" fontId="6" fillId="2" borderId="7" xfId="0" applyFont="1" applyFill="1" applyBorder="1" applyAlignment="1">
      <alignment vertical="center"/>
    </xf>
    <xf numFmtId="0" fontId="1" fillId="4" borderId="24" xfId="0" applyFont="1" applyFill="1" applyBorder="1" applyAlignment="1">
      <alignment horizontal="center"/>
    </xf>
    <xf numFmtId="0" fontId="10" fillId="0" borderId="126" xfId="0" applyFont="1" applyFill="1" applyBorder="1"/>
    <xf numFmtId="0" fontId="1" fillId="0" borderId="17" xfId="0" applyFont="1" applyFill="1" applyBorder="1"/>
    <xf numFmtId="0" fontId="10" fillId="0" borderId="17" xfId="0" applyFont="1" applyFill="1" applyBorder="1"/>
    <xf numFmtId="0" fontId="10" fillId="0" borderId="129" xfId="0" applyFont="1" applyFill="1" applyBorder="1"/>
    <xf numFmtId="0" fontId="1" fillId="0" borderId="130" xfId="0" applyFont="1" applyFill="1" applyBorder="1"/>
    <xf numFmtId="0" fontId="10" fillId="0" borderId="130" xfId="0" applyFont="1" applyFill="1" applyBorder="1"/>
    <xf numFmtId="0" fontId="5" fillId="0" borderId="0" xfId="0" applyFont="1" applyAlignment="1"/>
    <xf numFmtId="0" fontId="39" fillId="0" borderId="0" xfId="3" applyFont="1" applyFill="1" applyAlignment="1" applyProtection="1">
      <alignment vertical="center"/>
      <protection locked="0"/>
    </xf>
    <xf numFmtId="0" fontId="72" fillId="0" borderId="28" xfId="0" applyFont="1" applyBorder="1" applyAlignment="1" applyProtection="1">
      <alignment horizontal="left"/>
    </xf>
    <xf numFmtId="0" fontId="19" fillId="2" borderId="33" xfId="0" applyFont="1" applyFill="1" applyBorder="1" applyAlignment="1" applyProtection="1">
      <alignment horizontal="center" vertical="center" wrapText="1"/>
    </xf>
    <xf numFmtId="0" fontId="6" fillId="0" borderId="20" xfId="0" applyFont="1" applyFill="1" applyBorder="1" applyAlignment="1">
      <alignment horizontal="right" vertical="center"/>
    </xf>
    <xf numFmtId="164" fontId="8" fillId="3" borderId="82" xfId="0" applyNumberFormat="1" applyFont="1" applyFill="1" applyBorder="1" applyProtection="1"/>
    <xf numFmtId="0" fontId="8" fillId="0" borderId="1" xfId="0" applyFont="1" applyFill="1" applyBorder="1" applyAlignment="1">
      <alignment wrapText="1"/>
    </xf>
    <xf numFmtId="14" fontId="7" fillId="0" borderId="134" xfId="0" applyNumberFormat="1" applyFont="1" applyFill="1" applyBorder="1" applyAlignment="1">
      <alignment horizontal="left" indent="1"/>
    </xf>
    <xf numFmtId="1" fontId="78" fillId="0" borderId="135" xfId="0" applyNumberFormat="1" applyFont="1" applyBorder="1" applyAlignment="1" applyProtection="1">
      <alignment horizontal="center"/>
    </xf>
    <xf numFmtId="164" fontId="7" fillId="0" borderId="20" xfId="0" applyNumberFormat="1" applyFont="1" applyFill="1" applyBorder="1" applyAlignment="1"/>
    <xf numFmtId="0" fontId="35" fillId="0" borderId="20" xfId="0" applyFont="1" applyFill="1" applyBorder="1" applyAlignment="1">
      <alignment vertical="center"/>
    </xf>
    <xf numFmtId="164" fontId="7" fillId="0" borderId="72" xfId="0" applyNumberFormat="1" applyFont="1" applyFill="1" applyBorder="1" applyProtection="1"/>
    <xf numFmtId="164" fontId="7" fillId="0" borderId="72" xfId="0" applyNumberFormat="1" applyFont="1" applyBorder="1" applyAlignment="1" applyProtection="1">
      <alignment horizontal="right"/>
    </xf>
    <xf numFmtId="9" fontId="24" fillId="26" borderId="71" xfId="0" applyNumberFormat="1" applyFont="1" applyFill="1" applyBorder="1" applyAlignment="1" applyProtection="1">
      <alignment horizontal="right"/>
    </xf>
    <xf numFmtId="164" fontId="8" fillId="3" borderId="138" xfId="0" applyNumberFormat="1" applyFont="1" applyFill="1" applyBorder="1" applyProtection="1"/>
    <xf numFmtId="164" fontId="8" fillId="3" borderId="139" xfId="0" applyNumberFormat="1" applyFont="1" applyFill="1" applyBorder="1" applyProtection="1"/>
    <xf numFmtId="0" fontId="3" fillId="3" borderId="140" xfId="0" applyFont="1" applyFill="1" applyBorder="1" applyAlignment="1" applyProtection="1">
      <alignment horizontal="center"/>
    </xf>
    <xf numFmtId="0" fontId="3" fillId="3" borderId="141" xfId="0" applyFont="1" applyFill="1" applyBorder="1" applyAlignment="1" applyProtection="1">
      <alignment horizontal="center"/>
    </xf>
    <xf numFmtId="164" fontId="24" fillId="17" borderId="142" xfId="0" applyNumberFormat="1" applyFont="1" applyFill="1" applyBorder="1" applyAlignment="1" applyProtection="1">
      <alignment horizontal="right"/>
    </xf>
    <xf numFmtId="164" fontId="24" fillId="17" borderId="91" xfId="0" applyNumberFormat="1" applyFont="1" applyFill="1" applyBorder="1" applyAlignment="1" applyProtection="1">
      <alignment horizontal="right"/>
    </xf>
    <xf numFmtId="164" fontId="8" fillId="17" borderId="80" xfId="0" applyNumberFormat="1" applyFont="1" applyFill="1" applyBorder="1" applyAlignment="1" applyProtection="1">
      <alignment horizontal="right"/>
      <protection locked="0"/>
    </xf>
    <xf numFmtId="164" fontId="7" fillId="0" borderId="143" xfId="0" applyNumberFormat="1" applyFont="1" applyBorder="1" applyAlignment="1" applyProtection="1">
      <alignment horizontal="right"/>
    </xf>
    <xf numFmtId="0" fontId="3" fillId="3" borderId="70"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3" fillId="3" borderId="71" xfId="0" applyFont="1" applyFill="1" applyBorder="1" applyAlignment="1" applyProtection="1">
      <alignment horizontal="centerContinuous"/>
    </xf>
    <xf numFmtId="0" fontId="10" fillId="0" borderId="34" xfId="0" applyFont="1" applyBorder="1"/>
    <xf numFmtId="0" fontId="10" fillId="0" borderId="65" xfId="0" applyFont="1" applyBorder="1"/>
    <xf numFmtId="0" fontId="0" fillId="0" borderId="65" xfId="0" applyBorder="1"/>
    <xf numFmtId="9" fontId="0" fillId="0" borderId="144" xfId="0" applyNumberFormat="1" applyBorder="1"/>
    <xf numFmtId="0" fontId="10" fillId="0" borderId="31" xfId="0" applyFont="1" applyBorder="1"/>
    <xf numFmtId="9" fontId="0" fillId="0" borderId="31" xfId="0" applyNumberFormat="1" applyBorder="1"/>
    <xf numFmtId="0" fontId="14" fillId="0" borderId="0" xfId="0" applyFont="1" applyBorder="1"/>
    <xf numFmtId="0" fontId="12" fillId="0" borderId="0" xfId="0" applyFont="1" applyBorder="1"/>
    <xf numFmtId="9" fontId="3" fillId="0" borderId="0" xfId="0" applyNumberFormat="1" applyFont="1" applyBorder="1"/>
    <xf numFmtId="0" fontId="6" fillId="0" borderId="0" xfId="0" applyFont="1" applyBorder="1"/>
    <xf numFmtId="0" fontId="14" fillId="0" borderId="117" xfId="0" applyFont="1" applyBorder="1"/>
    <xf numFmtId="0" fontId="12" fillId="0" borderId="117" xfId="0" applyFont="1" applyBorder="1"/>
    <xf numFmtId="0" fontId="1" fillId="0" borderId="122" xfId="0" applyFont="1" applyBorder="1"/>
    <xf numFmtId="9" fontId="1" fillId="0" borderId="122" xfId="0" applyNumberFormat="1" applyFont="1" applyBorder="1"/>
    <xf numFmtId="0" fontId="3" fillId="4" borderId="33" xfId="0" applyFont="1" applyFill="1" applyBorder="1" applyAlignment="1">
      <alignment horizontal="center"/>
    </xf>
    <xf numFmtId="0" fontId="3" fillId="24" borderId="0" xfId="0" applyFont="1" applyFill="1" applyAlignment="1">
      <alignment horizontal="left"/>
    </xf>
    <xf numFmtId="0" fontId="10" fillId="0" borderId="24" xfId="0" applyNumberFormat="1" applyFont="1" applyBorder="1" applyAlignment="1" applyProtection="1">
      <alignment horizontal="center" vertical="center"/>
    </xf>
    <xf numFmtId="0" fontId="55" fillId="0" borderId="28" xfId="0" applyNumberFormat="1" applyFont="1" applyBorder="1" applyAlignment="1">
      <alignment horizontal="centerContinuous" vertical="top" wrapText="1"/>
    </xf>
    <xf numFmtId="0" fontId="5" fillId="3" borderId="31" xfId="0" applyNumberFormat="1" applyFont="1" applyFill="1" applyBorder="1" applyAlignment="1">
      <alignment horizontal="centerContinuous" vertical="center"/>
    </xf>
    <xf numFmtId="0" fontId="5" fillId="3" borderId="28" xfId="0" applyNumberFormat="1" applyFont="1" applyFill="1" applyBorder="1" applyAlignment="1">
      <alignment horizontal="centerContinuous" vertical="center"/>
    </xf>
    <xf numFmtId="0" fontId="3" fillId="0" borderId="77" xfId="0" applyNumberFormat="1" applyFont="1" applyFill="1" applyBorder="1" applyAlignment="1">
      <alignment vertical="center" wrapText="1"/>
    </xf>
    <xf numFmtId="0" fontId="0" fillId="0" borderId="31" xfId="0" applyNumberFormat="1" applyFill="1" applyBorder="1" applyAlignment="1">
      <alignment horizontal="center" vertical="center"/>
    </xf>
    <xf numFmtId="0" fontId="2" fillId="0" borderId="20" xfId="0" applyNumberFormat="1" applyFont="1" applyFill="1" applyBorder="1" applyAlignment="1">
      <alignment wrapText="1"/>
    </xf>
    <xf numFmtId="0" fontId="29" fillId="3" borderId="7" xfId="0" applyNumberFormat="1" applyFont="1" applyFill="1" applyBorder="1" applyAlignment="1">
      <alignment horizontal="center"/>
    </xf>
    <xf numFmtId="0" fontId="10" fillId="0" borderId="0" xfId="0" applyNumberFormat="1" applyFont="1" applyBorder="1" applyAlignment="1" applyProtection="1">
      <alignment horizontal="center" vertical="center"/>
      <protection locked="0"/>
    </xf>
    <xf numFmtId="0" fontId="10" fillId="24" borderId="0" xfId="0" applyNumberFormat="1" applyFont="1" applyFill="1" applyBorder="1" applyAlignment="1">
      <alignment horizontal="center" vertical="center"/>
    </xf>
    <xf numFmtId="0" fontId="0" fillId="0" borderId="0" xfId="0" applyNumberFormat="1"/>
    <xf numFmtId="0" fontId="3" fillId="0" borderId="20" xfId="0" applyNumberFormat="1" applyFont="1" applyFill="1" applyBorder="1" applyAlignment="1">
      <alignment vertical="center" wrapText="1"/>
    </xf>
    <xf numFmtId="2" fontId="55" fillId="0" borderId="28" xfId="0" applyNumberFormat="1" applyFont="1" applyBorder="1" applyAlignment="1">
      <alignment horizontal="centerContinuous" vertical="top" wrapText="1"/>
    </xf>
    <xf numFmtId="2" fontId="5" fillId="3" borderId="31" xfId="0" applyNumberFormat="1" applyFont="1" applyFill="1" applyBorder="1" applyAlignment="1">
      <alignment horizontal="centerContinuous" vertical="center"/>
    </xf>
    <xf numFmtId="2" fontId="5" fillId="3" borderId="28" xfId="0" applyNumberFormat="1" applyFont="1" applyFill="1" applyBorder="1" applyAlignment="1">
      <alignment horizontal="centerContinuous" vertical="center"/>
    </xf>
    <xf numFmtId="2" fontId="6" fillId="0" borderId="21" xfId="0" applyNumberFormat="1" applyFont="1" applyFill="1" applyBorder="1" applyAlignment="1">
      <alignment horizontal="right" vertical="center" wrapText="1"/>
    </xf>
    <xf numFmtId="2" fontId="30" fillId="0" borderId="31" xfId="0" applyNumberFormat="1" applyFont="1" applyFill="1" applyBorder="1" applyAlignment="1">
      <alignment horizontal="right" vertical="center"/>
    </xf>
    <xf numFmtId="2" fontId="2" fillId="0" borderId="20" xfId="0" applyNumberFormat="1" applyFont="1" applyFill="1" applyBorder="1" applyAlignment="1">
      <alignment wrapText="1"/>
    </xf>
    <xf numFmtId="2" fontId="29" fillId="3" borderId="7" xfId="0" applyNumberFormat="1" applyFont="1" applyFill="1" applyBorder="1" applyAlignment="1">
      <alignment horizontal="center"/>
    </xf>
    <xf numFmtId="2" fontId="10" fillId="0" borderId="0" xfId="0" applyNumberFormat="1" applyFont="1" applyBorder="1" applyAlignment="1" applyProtection="1">
      <alignment horizontal="center" vertical="center"/>
      <protection locked="0"/>
    </xf>
    <xf numFmtId="2" fontId="10" fillId="24" borderId="0" xfId="0" applyNumberFormat="1" applyFont="1" applyFill="1" applyBorder="1" applyAlignment="1">
      <alignment horizontal="center" vertical="center"/>
    </xf>
    <xf numFmtId="2" fontId="0" fillId="0" borderId="0" xfId="0" applyNumberFormat="1"/>
    <xf numFmtId="1" fontId="10" fillId="0" borderId="24" xfId="0" applyNumberFormat="1" applyFont="1" applyBorder="1" applyAlignment="1" applyProtection="1">
      <alignment horizontal="center" vertical="center"/>
      <protection locked="0"/>
    </xf>
    <xf numFmtId="0" fontId="0" fillId="0" borderId="0" xfId="0" applyAlignment="1" applyProtection="1">
      <alignment vertical="center"/>
    </xf>
    <xf numFmtId="0" fontId="31" fillId="0" borderId="0" xfId="0" applyFont="1" applyAlignment="1" applyProtection="1">
      <alignment horizontal="center"/>
    </xf>
    <xf numFmtId="0" fontId="32" fillId="0" borderId="0" xfId="0" applyFont="1" applyAlignment="1" applyProtection="1">
      <alignment horizontal="center"/>
    </xf>
    <xf numFmtId="0" fontId="29" fillId="0" borderId="0" xfId="0" applyFont="1" applyAlignment="1" applyProtection="1">
      <alignment horizontal="center"/>
    </xf>
    <xf numFmtId="0" fontId="1" fillId="48" borderId="0" xfId="0" applyFont="1" applyFill="1" applyAlignment="1" applyProtection="1">
      <alignment horizontal="center"/>
    </xf>
    <xf numFmtId="1" fontId="10" fillId="0" borderId="24" xfId="0" applyNumberFormat="1" applyFont="1" applyBorder="1" applyAlignment="1" applyProtection="1">
      <alignment horizontal="center" vertical="center"/>
    </xf>
    <xf numFmtId="0" fontId="0" fillId="0" borderId="0" xfId="0" applyFill="1" applyProtection="1"/>
    <xf numFmtId="0" fontId="1" fillId="0" borderId="7"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41" fillId="0" borderId="39" xfId="0" applyFont="1" applyBorder="1"/>
    <xf numFmtId="0" fontId="0" fillId="0" borderId="7" xfId="0" applyFill="1" applyBorder="1" applyAlignment="1">
      <alignment wrapText="1"/>
    </xf>
    <xf numFmtId="0" fontId="8" fillId="0" borderId="34" xfId="0" applyFont="1" applyFill="1" applyBorder="1" applyAlignment="1">
      <alignment wrapText="1"/>
    </xf>
    <xf numFmtId="0" fontId="30" fillId="0" borderId="145" xfId="0" applyFont="1" applyFill="1" applyBorder="1" applyAlignment="1">
      <alignment horizontal="right"/>
    </xf>
    <xf numFmtId="14" fontId="30" fillId="0" borderId="146" xfId="0" applyNumberFormat="1" applyFont="1" applyFill="1" applyBorder="1" applyAlignment="1">
      <alignment horizontal="center"/>
    </xf>
    <xf numFmtId="0" fontId="30" fillId="0" borderId="39" xfId="0" applyFont="1" applyFill="1" applyBorder="1" applyAlignment="1">
      <alignment horizontal="right"/>
    </xf>
    <xf numFmtId="0" fontId="19" fillId="21" borderId="147" xfId="0" applyFont="1" applyFill="1" applyBorder="1" applyAlignment="1"/>
    <xf numFmtId="0" fontId="0" fillId="3" borderId="39" xfId="0" applyFill="1" applyBorder="1"/>
    <xf numFmtId="0" fontId="32" fillId="3" borderId="38" xfId="0" applyFont="1" applyFill="1" applyBorder="1" applyAlignment="1">
      <alignment horizontal="center"/>
    </xf>
    <xf numFmtId="0" fontId="3" fillId="3" borderId="133" xfId="0" applyFont="1" applyFill="1" applyBorder="1" applyAlignment="1">
      <alignment horizontal="center"/>
    </xf>
    <xf numFmtId="0" fontId="32" fillId="3" borderId="148" xfId="0" applyFont="1" applyFill="1" applyBorder="1" applyAlignment="1">
      <alignment horizontal="center"/>
    </xf>
    <xf numFmtId="164" fontId="0" fillId="21" borderId="126" xfId="0" applyNumberFormat="1" applyFill="1" applyBorder="1"/>
    <xf numFmtId="164" fontId="0" fillId="21" borderId="127" xfId="0" applyNumberFormat="1" applyFill="1" applyBorder="1"/>
    <xf numFmtId="0" fontId="3" fillId="0" borderId="149" xfId="0" applyFont="1" applyBorder="1" applyAlignment="1">
      <alignment horizontal="left"/>
    </xf>
    <xf numFmtId="0" fontId="0" fillId="0" borderId="149" xfId="0" applyBorder="1" applyAlignment="1">
      <alignment horizontal="left"/>
    </xf>
    <xf numFmtId="164" fontId="8" fillId="3" borderId="107" xfId="0" applyNumberFormat="1" applyFont="1" applyFill="1" applyBorder="1"/>
    <xf numFmtId="0" fontId="1" fillId="0" borderId="149" xfId="0" applyFont="1" applyBorder="1" applyAlignment="1">
      <alignment horizontal="left" wrapText="1"/>
    </xf>
    <xf numFmtId="0" fontId="2" fillId="0" borderId="150" xfId="0" applyFont="1" applyBorder="1" applyAlignment="1">
      <alignment horizontal="right"/>
    </xf>
    <xf numFmtId="0" fontId="1" fillId="0" borderId="150" xfId="0" applyFont="1" applyBorder="1" applyAlignment="1">
      <alignment horizontal="left"/>
    </xf>
    <xf numFmtId="0" fontId="3" fillId="0" borderId="149" xfId="0" applyFont="1" applyFill="1" applyBorder="1" applyAlignment="1">
      <alignment horizontal="left"/>
    </xf>
    <xf numFmtId="164" fontId="2" fillId="3" borderId="110" xfId="0" applyNumberFormat="1" applyFont="1" applyFill="1" applyBorder="1" applyAlignment="1">
      <alignment horizontal="right"/>
    </xf>
    <xf numFmtId="0" fontId="0" fillId="0" borderId="149" xfId="0" applyFill="1" applyBorder="1" applyAlignment="1">
      <alignment horizontal="left"/>
    </xf>
    <xf numFmtId="10" fontId="8" fillId="0" borderId="151" xfId="0" applyNumberFormat="1" applyFont="1" applyFill="1" applyBorder="1"/>
    <xf numFmtId="0" fontId="0" fillId="0" borderId="150" xfId="0" applyFill="1" applyBorder="1" applyAlignment="1">
      <alignment horizontal="left"/>
    </xf>
    <xf numFmtId="0" fontId="0" fillId="0" borderId="39" xfId="0" applyBorder="1" applyAlignment="1">
      <alignment horizontal="left"/>
    </xf>
    <xf numFmtId="164" fontId="0" fillId="0" borderId="38" xfId="0" applyNumberFormat="1" applyBorder="1"/>
    <xf numFmtId="0" fontId="35" fillId="0" borderId="149" xfId="0" applyFont="1" applyBorder="1" applyAlignment="1">
      <alignment horizontal="left"/>
    </xf>
    <xf numFmtId="164" fontId="0" fillId="3" borderId="152" xfId="0" applyNumberFormat="1" applyFill="1" applyBorder="1"/>
    <xf numFmtId="0" fontId="1" fillId="0" borderId="149" xfId="0" applyFont="1" applyBorder="1" applyAlignment="1">
      <alignment horizontal="left"/>
    </xf>
    <xf numFmtId="164" fontId="0" fillId="3" borderId="107" xfId="0" applyNumberFormat="1" applyFill="1" applyBorder="1"/>
    <xf numFmtId="0" fontId="2" fillId="0" borderId="150" xfId="0" applyFont="1" applyBorder="1" applyAlignment="1">
      <alignment horizontal="left"/>
    </xf>
    <xf numFmtId="164" fontId="0" fillId="3" borderId="153" xfId="0" applyNumberFormat="1" applyFill="1" applyBorder="1"/>
    <xf numFmtId="0" fontId="3" fillId="0" borderId="149" xfId="0" applyFont="1" applyBorder="1" applyAlignment="1">
      <alignment horizontal="right"/>
    </xf>
    <xf numFmtId="0" fontId="0" fillId="0" borderId="39" xfId="0" applyBorder="1"/>
    <xf numFmtId="0" fontId="0" fillId="0" borderId="38" xfId="0" applyBorder="1"/>
    <xf numFmtId="0" fontId="7" fillId="3" borderId="1" xfId="0" applyFont="1" applyFill="1" applyBorder="1" applyAlignment="1"/>
    <xf numFmtId="0" fontId="32" fillId="3" borderId="147" xfId="0" applyFont="1" applyFill="1" applyBorder="1" applyAlignment="1">
      <alignment horizontal="center"/>
    </xf>
    <xf numFmtId="0" fontId="32" fillId="3" borderId="133" xfId="0" applyFont="1" applyFill="1" applyBorder="1" applyAlignment="1">
      <alignment horizontal="center"/>
    </xf>
    <xf numFmtId="0" fontId="35" fillId="2" borderId="133" xfId="0" applyFont="1" applyFill="1" applyBorder="1" applyAlignment="1">
      <alignment horizontal="left"/>
    </xf>
    <xf numFmtId="0" fontId="0" fillId="0" borderId="127" xfId="0" applyBorder="1" applyAlignment="1"/>
    <xf numFmtId="164" fontId="0" fillId="3" borderId="151" xfId="0" applyNumberFormat="1" applyFill="1" applyBorder="1"/>
    <xf numFmtId="0" fontId="0" fillId="0" borderId="149" xfId="0" applyBorder="1" applyAlignment="1">
      <alignment horizontal="left" wrapText="1"/>
    </xf>
    <xf numFmtId="0" fontId="35" fillId="0" borderId="145" xfId="0" applyFont="1" applyBorder="1" applyAlignment="1">
      <alignment horizontal="left"/>
    </xf>
    <xf numFmtId="0" fontId="0" fillId="0" borderId="149" xfId="0" applyBorder="1"/>
    <xf numFmtId="0" fontId="1" fillId="0" borderId="149" xfId="0" applyFont="1" applyBorder="1"/>
    <xf numFmtId="0" fontId="1" fillId="0" borderId="150" xfId="0" applyFont="1" applyBorder="1"/>
    <xf numFmtId="0" fontId="36" fillId="0" borderId="145" xfId="0" applyFont="1" applyBorder="1"/>
    <xf numFmtId="164" fontId="0" fillId="3" borderId="152" xfId="0" applyNumberFormat="1" applyFill="1" applyBorder="1" applyAlignment="1">
      <alignment wrapText="1"/>
    </xf>
    <xf numFmtId="0" fontId="9" fillId="0" borderId="150" xfId="3" applyBorder="1" applyAlignment="1" applyProtection="1">
      <protection locked="0"/>
    </xf>
    <xf numFmtId="164" fontId="0" fillId="3" borderId="154" xfId="0" applyNumberFormat="1" applyFill="1" applyBorder="1" applyAlignment="1">
      <alignment wrapText="1"/>
    </xf>
    <xf numFmtId="0" fontId="0" fillId="0" borderId="150" xfId="0" applyBorder="1"/>
    <xf numFmtId="0" fontId="35" fillId="0" borderId="145" xfId="0" applyFont="1" applyBorder="1"/>
    <xf numFmtId="0" fontId="0" fillId="0" borderId="149" xfId="0" applyBorder="1" applyAlignment="1"/>
    <xf numFmtId="164" fontId="0" fillId="3" borderId="151" xfId="0" applyNumberFormat="1" applyFill="1" applyBorder="1" applyAlignment="1"/>
    <xf numFmtId="0" fontId="3" fillId="0" borderId="145" xfId="0" applyFont="1" applyBorder="1" applyAlignment="1">
      <alignment horizontal="left" wrapText="1"/>
    </xf>
    <xf numFmtId="164" fontId="0" fillId="3" borderId="146" xfId="0" applyNumberFormat="1" applyFill="1" applyBorder="1"/>
    <xf numFmtId="0" fontId="3" fillId="0" borderId="145" xfId="0" applyFont="1" applyFill="1" applyBorder="1" applyAlignment="1">
      <alignment horizontal="left" wrapText="1"/>
    </xf>
    <xf numFmtId="0" fontId="3" fillId="17" borderId="145" xfId="0" applyFont="1" applyFill="1" applyBorder="1" applyAlignment="1">
      <alignment horizontal="left" wrapText="1"/>
    </xf>
    <xf numFmtId="0" fontId="3" fillId="0" borderId="39" xfId="0" applyFont="1" applyBorder="1" applyAlignment="1">
      <alignment horizontal="right"/>
    </xf>
    <xf numFmtId="164" fontId="3" fillId="0" borderId="38" xfId="0" applyNumberFormat="1" applyFont="1" applyBorder="1"/>
    <xf numFmtId="0" fontId="2" fillId="0" borderId="149" xfId="0" applyFont="1" applyBorder="1" applyAlignment="1">
      <alignment horizontal="left"/>
    </xf>
    <xf numFmtId="0" fontId="2" fillId="17" borderId="149" xfId="0" applyFont="1" applyFill="1" applyBorder="1" applyAlignment="1">
      <alignment horizontal="left"/>
    </xf>
    <xf numFmtId="164" fontId="0" fillId="3" borderId="38" xfId="0" applyNumberFormat="1" applyFill="1" applyBorder="1"/>
    <xf numFmtId="0" fontId="32" fillId="0" borderId="145" xfId="0" applyFont="1" applyBorder="1" applyAlignment="1">
      <alignment horizontal="right"/>
    </xf>
    <xf numFmtId="164" fontId="0" fillId="3" borderId="155" xfId="0" applyNumberFormat="1" applyFill="1" applyBorder="1"/>
    <xf numFmtId="0" fontId="3" fillId="13" borderId="149" xfId="0" applyFont="1" applyFill="1" applyBorder="1" applyAlignment="1">
      <alignment horizontal="right" wrapText="1"/>
    </xf>
    <xf numFmtId="0" fontId="3" fillId="17" borderId="149" xfId="0" applyFont="1" applyFill="1" applyBorder="1" applyAlignment="1">
      <alignment horizontal="left" wrapText="1"/>
    </xf>
    <xf numFmtId="0" fontId="3" fillId="17" borderId="149" xfId="0" applyFont="1" applyFill="1" applyBorder="1" applyAlignment="1">
      <alignment horizontal="left"/>
    </xf>
    <xf numFmtId="0" fontId="0" fillId="3" borderId="149" xfId="0" applyFill="1" applyBorder="1"/>
    <xf numFmtId="0" fontId="3" fillId="0" borderId="149" xfId="0" applyFont="1" applyBorder="1" applyAlignment="1">
      <alignment horizontal="left" wrapText="1"/>
    </xf>
    <xf numFmtId="0" fontId="4" fillId="0" borderId="149" xfId="0" applyFont="1" applyBorder="1" applyAlignment="1">
      <alignment horizontal="left" wrapText="1"/>
    </xf>
    <xf numFmtId="0" fontId="1" fillId="17" borderId="149" xfId="0" applyFont="1" applyFill="1" applyBorder="1" applyAlignment="1">
      <alignment horizontal="left" wrapText="1"/>
    </xf>
    <xf numFmtId="0" fontId="1" fillId="0" borderId="149" xfId="0" applyFont="1" applyFill="1" applyBorder="1" applyAlignment="1">
      <alignment horizontal="left" wrapText="1"/>
    </xf>
    <xf numFmtId="0" fontId="95" fillId="3" borderId="149" xfId="0" applyFont="1" applyFill="1" applyBorder="1" applyAlignment="1">
      <alignment horizontal="left" wrapText="1"/>
    </xf>
    <xf numFmtId="0" fontId="92" fillId="3" borderId="145" xfId="0" applyFont="1" applyFill="1" applyBorder="1"/>
    <xf numFmtId="164" fontId="92" fillId="3" borderId="107" xfId="0" applyNumberFormat="1" applyFont="1" applyFill="1" applyBorder="1"/>
    <xf numFmtId="0" fontId="3" fillId="0" borderId="149" xfId="0" applyFont="1" applyFill="1" applyBorder="1" applyAlignment="1">
      <alignment horizontal="left" wrapText="1"/>
    </xf>
    <xf numFmtId="0" fontId="0" fillId="3" borderId="126" xfId="0" applyFill="1" applyBorder="1"/>
    <xf numFmtId="164" fontId="0" fillId="3" borderId="147" xfId="0" applyNumberFormat="1" applyFill="1" applyBorder="1"/>
    <xf numFmtId="0" fontId="3" fillId="13" borderId="149" xfId="0" applyFont="1" applyFill="1" applyBorder="1" applyAlignment="1">
      <alignment horizontal="left" vertical="top" wrapText="1"/>
    </xf>
    <xf numFmtId="0" fontId="32" fillId="0" borderId="39" xfId="0" applyFont="1" applyFill="1" applyBorder="1" applyAlignment="1">
      <alignment horizontal="left"/>
    </xf>
    <xf numFmtId="0" fontId="0" fillId="0" borderId="38" xfId="0" applyFill="1" applyBorder="1"/>
    <xf numFmtId="0" fontId="7" fillId="0" borderId="39" xfId="0" applyFont="1" applyBorder="1" applyAlignment="1">
      <alignment horizontal="left" vertical="top" wrapText="1" indent="1"/>
    </xf>
    <xf numFmtId="0" fontId="2" fillId="0" borderId="38" xfId="0" applyFont="1" applyBorder="1"/>
    <xf numFmtId="0" fontId="29" fillId="0" borderId="38" xfId="0" applyFont="1" applyBorder="1" applyAlignment="1" applyProtection="1">
      <alignment wrapText="1"/>
      <protection locked="0"/>
    </xf>
    <xf numFmtId="0" fontId="7" fillId="0" borderId="39" xfId="0" applyFont="1" applyFill="1" applyBorder="1" applyAlignment="1">
      <alignment horizontal="left" vertical="top" wrapText="1"/>
    </xf>
    <xf numFmtId="167" fontId="31" fillId="38" borderId="24" xfId="0" applyNumberFormat="1" applyFont="1" applyFill="1" applyBorder="1" applyAlignment="1">
      <alignment vertical="center"/>
    </xf>
    <xf numFmtId="0" fontId="0" fillId="0" borderId="6" xfId="0" applyBorder="1" applyAlignment="1">
      <alignment vertical="center"/>
    </xf>
    <xf numFmtId="0" fontId="0" fillId="17" borderId="0" xfId="0" applyFill="1"/>
    <xf numFmtId="0" fontId="29" fillId="24" borderId="0" xfId="0" applyFont="1" applyFill="1" applyBorder="1" applyAlignment="1">
      <alignment vertical="center" wrapText="1"/>
    </xf>
    <xf numFmtId="0" fontId="29" fillId="17" borderId="6" xfId="0" applyFont="1" applyFill="1" applyBorder="1" applyAlignment="1">
      <alignment horizontal="center" vertical="center"/>
    </xf>
    <xf numFmtId="0" fontId="0" fillId="17" borderId="6" xfId="0" applyFill="1" applyBorder="1" applyAlignment="1">
      <alignment horizontal="center"/>
    </xf>
    <xf numFmtId="164" fontId="24" fillId="0" borderId="151" xfId="0" applyNumberFormat="1" applyFont="1" applyFill="1" applyBorder="1" applyProtection="1"/>
    <xf numFmtId="164" fontId="1" fillId="0" borderId="6" xfId="0" applyNumberFormat="1" applyFont="1" applyFill="1" applyBorder="1" applyAlignment="1">
      <alignment horizontal="center" wrapText="1"/>
    </xf>
    <xf numFmtId="5" fontId="0" fillId="0" borderId="0" xfId="0" applyNumberFormat="1"/>
    <xf numFmtId="14" fontId="17" fillId="0" borderId="20" xfId="0" applyNumberFormat="1" applyFont="1" applyFill="1" applyBorder="1" applyAlignment="1">
      <alignment horizontal="center" vertical="center"/>
    </xf>
    <xf numFmtId="1" fontId="10" fillId="23" borderId="0" xfId="0" applyNumberFormat="1" applyFont="1" applyFill="1" applyBorder="1" applyAlignment="1">
      <alignment horizontal="center" vertical="center"/>
    </xf>
    <xf numFmtId="10" fontId="10" fillId="21" borderId="32" xfId="0" applyNumberFormat="1" applyFont="1" applyFill="1" applyBorder="1" applyAlignment="1" applyProtection="1">
      <alignment horizontal="center" vertical="center"/>
    </xf>
    <xf numFmtId="0" fontId="17" fillId="0" borderId="0" xfId="0" applyFont="1" applyAlignment="1">
      <alignment horizontal="left" vertical="center" wrapText="1"/>
    </xf>
    <xf numFmtId="0" fontId="83" fillId="33" borderId="52" xfId="0" applyFont="1" applyFill="1" applyBorder="1" applyAlignment="1">
      <alignment vertical="top" wrapText="1"/>
    </xf>
    <xf numFmtId="0" fontId="83" fillId="33" borderId="53" xfId="0" applyFont="1" applyFill="1" applyBorder="1" applyAlignment="1">
      <alignment vertical="top" wrapText="1"/>
    </xf>
    <xf numFmtId="0" fontId="2" fillId="0" borderId="0" xfId="0" applyFont="1" applyAlignment="1">
      <alignment vertical="top" wrapText="1"/>
    </xf>
    <xf numFmtId="0" fontId="3" fillId="0" borderId="0" xfId="0" applyFont="1" applyBorder="1"/>
    <xf numFmtId="0" fontId="10" fillId="0" borderId="158" xfId="0" applyFont="1" applyBorder="1"/>
    <xf numFmtId="0" fontId="3" fillId="0" borderId="6" xfId="0" applyFont="1" applyBorder="1"/>
    <xf numFmtId="9" fontId="3" fillId="0" borderId="6" xfId="0" applyNumberFormat="1" applyFont="1" applyBorder="1"/>
    <xf numFmtId="0" fontId="6" fillId="0" borderId="7" xfId="0" applyFont="1" applyBorder="1"/>
    <xf numFmtId="0" fontId="14" fillId="0" borderId="20" xfId="0" applyFont="1" applyBorder="1"/>
    <xf numFmtId="0" fontId="12" fillId="0" borderId="20" xfId="0" applyFont="1" applyBorder="1"/>
    <xf numFmtId="0" fontId="12" fillId="0" borderId="1" xfId="0" applyFont="1" applyBorder="1"/>
    <xf numFmtId="9" fontId="0" fillId="0" borderId="40" xfId="0" applyNumberFormat="1" applyBorder="1"/>
    <xf numFmtId="9" fontId="0" fillId="0" borderId="6" xfId="0" applyNumberFormat="1" applyBorder="1"/>
    <xf numFmtId="0" fontId="29" fillId="48" borderId="7" xfId="0" applyFont="1" applyFill="1" applyBorder="1" applyAlignment="1" applyProtection="1">
      <alignment horizontal="center" wrapText="1"/>
    </xf>
    <xf numFmtId="0" fontId="29" fillId="48" borderId="6" xfId="0" applyFont="1" applyFill="1" applyBorder="1" applyAlignment="1" applyProtection="1">
      <alignment horizontal="center" wrapText="1"/>
    </xf>
    <xf numFmtId="0" fontId="0" fillId="17" borderId="6" xfId="0" applyFill="1" applyBorder="1"/>
    <xf numFmtId="0" fontId="3" fillId="0" borderId="39" xfId="0" applyFont="1" applyBorder="1" applyAlignment="1">
      <alignment horizontal="left"/>
    </xf>
    <xf numFmtId="0" fontId="3" fillId="0" borderId="31" xfId="0" applyFont="1" applyFill="1" applyBorder="1" applyAlignment="1">
      <alignment horizontal="right"/>
    </xf>
    <xf numFmtId="0" fontId="0" fillId="21" borderId="0" xfId="0" applyFill="1" applyBorder="1"/>
    <xf numFmtId="0" fontId="3" fillId="0" borderId="157" xfId="0" applyFont="1" applyFill="1" applyBorder="1" applyAlignment="1">
      <alignment horizontal="right"/>
    </xf>
    <xf numFmtId="164" fontId="8" fillId="29" borderId="92" xfId="0" applyNumberFormat="1" applyFont="1" applyFill="1" applyBorder="1" applyAlignment="1" applyProtection="1">
      <alignment horizontal="right"/>
      <protection locked="0"/>
    </xf>
    <xf numFmtId="164" fontId="78" fillId="0" borderId="82" xfId="0" applyNumberFormat="1" applyFont="1" applyFill="1" applyBorder="1" applyAlignment="1" applyProtection="1">
      <alignment horizontal="right"/>
    </xf>
    <xf numFmtId="164" fontId="78" fillId="35" borderId="92" xfId="0" applyNumberFormat="1" applyFont="1" applyFill="1" applyBorder="1" applyAlignment="1" applyProtection="1">
      <alignment horizontal="right"/>
    </xf>
    <xf numFmtId="0" fontId="8" fillId="0" borderId="70" xfId="0" applyFont="1" applyBorder="1" applyAlignment="1" applyProtection="1">
      <alignment horizontal="right"/>
    </xf>
    <xf numFmtId="0" fontId="8" fillId="0" borderId="71" xfId="0" applyFont="1" applyBorder="1" applyAlignment="1" applyProtection="1">
      <alignment horizontal="right"/>
    </xf>
    <xf numFmtId="164" fontId="3" fillId="0" borderId="72" xfId="0" applyNumberFormat="1" applyFont="1" applyBorder="1" applyAlignment="1">
      <alignment horizontal="right"/>
    </xf>
    <xf numFmtId="164" fontId="78" fillId="35" borderId="88" xfId="0" applyNumberFormat="1" applyFont="1" applyFill="1" applyBorder="1" applyAlignment="1" applyProtection="1">
      <alignment horizontal="right"/>
    </xf>
    <xf numFmtId="164" fontId="7" fillId="0" borderId="72" xfId="0" applyNumberFormat="1" applyFont="1" applyBorder="1" applyAlignment="1">
      <alignment horizontal="right"/>
    </xf>
    <xf numFmtId="164" fontId="7" fillId="0" borderId="20" xfId="0" applyNumberFormat="1" applyFont="1" applyFill="1" applyBorder="1" applyAlignment="1">
      <alignment horizontal="right"/>
    </xf>
    <xf numFmtId="164" fontId="7" fillId="0" borderId="80" xfId="0" applyNumberFormat="1" applyFont="1" applyBorder="1" applyAlignment="1">
      <alignment horizontal="right"/>
    </xf>
    <xf numFmtId="164" fontId="78" fillId="17" borderId="87" xfId="0" applyNumberFormat="1" applyFont="1" applyFill="1" applyBorder="1" applyAlignment="1" applyProtection="1">
      <alignment horizontal="right"/>
    </xf>
    <xf numFmtId="164" fontId="7" fillId="0" borderId="93" xfId="0" applyNumberFormat="1" applyFont="1" applyFill="1" applyBorder="1" applyAlignment="1">
      <alignment horizontal="right"/>
    </xf>
    <xf numFmtId="164" fontId="7" fillId="0" borderId="72" xfId="0" applyNumberFormat="1" applyFont="1" applyFill="1" applyBorder="1" applyAlignment="1">
      <alignment horizontal="right"/>
    </xf>
    <xf numFmtId="164" fontId="7" fillId="0" borderId="72" xfId="0" applyNumberFormat="1" applyFont="1" applyFill="1" applyBorder="1" applyAlignment="1" applyProtection="1">
      <alignment horizontal="right"/>
    </xf>
    <xf numFmtId="164" fontId="7" fillId="0" borderId="80" xfId="0" applyNumberFormat="1" applyFont="1" applyFill="1" applyBorder="1" applyAlignment="1" applyProtection="1">
      <alignment horizontal="right"/>
    </xf>
    <xf numFmtId="0" fontId="1" fillId="0" borderId="149" xfId="0" applyFont="1" applyFill="1" applyBorder="1" applyAlignment="1">
      <alignment horizontal="left"/>
    </xf>
    <xf numFmtId="0" fontId="8" fillId="0" borderId="9" xfId="0" applyFont="1" applyFill="1" applyBorder="1" applyAlignment="1">
      <alignment horizontal="left"/>
    </xf>
    <xf numFmtId="164" fontId="8" fillId="0" borderId="151" xfId="0" applyNumberFormat="1" applyFont="1" applyFill="1" applyBorder="1"/>
    <xf numFmtId="0" fontId="1" fillId="0" borderId="150" xfId="0" applyFont="1" applyFill="1" applyBorder="1" applyAlignment="1">
      <alignment horizontal="left" wrapText="1"/>
    </xf>
    <xf numFmtId="0" fontId="3" fillId="0" borderId="156" xfId="0" applyFont="1" applyFill="1" applyBorder="1" applyAlignment="1">
      <alignment horizontal="right"/>
    </xf>
    <xf numFmtId="0" fontId="0" fillId="0" borderId="21" xfId="0" applyFill="1" applyBorder="1" applyAlignment="1">
      <alignment horizontal="center"/>
    </xf>
    <xf numFmtId="0" fontId="0" fillId="0" borderId="41" xfId="0" applyFill="1" applyBorder="1" applyAlignment="1">
      <alignment horizontal="center"/>
    </xf>
    <xf numFmtId="164" fontId="7" fillId="0" borderId="23" xfId="0" applyNumberFormat="1" applyFont="1" applyFill="1" applyBorder="1"/>
    <xf numFmtId="49" fontId="116" fillId="0" borderId="9" xfId="0" applyNumberFormat="1" applyFont="1" applyBorder="1" applyAlignment="1" applyProtection="1">
      <alignment wrapText="1"/>
      <protection locked="0"/>
    </xf>
    <xf numFmtId="49" fontId="116" fillId="0" borderId="6" xfId="0" applyNumberFormat="1" applyFont="1" applyBorder="1" applyAlignment="1" applyProtection="1">
      <alignment wrapText="1"/>
      <protection locked="0"/>
    </xf>
    <xf numFmtId="164" fontId="100" fillId="17" borderId="6" xfId="0" applyNumberFormat="1" applyFont="1" applyFill="1" applyBorder="1" applyProtection="1">
      <protection locked="0"/>
    </xf>
    <xf numFmtId="164" fontId="116" fillId="17" borderId="91" xfId="0" applyNumberFormat="1" applyFont="1" applyFill="1" applyBorder="1" applyProtection="1">
      <protection locked="0"/>
    </xf>
    <xf numFmtId="164" fontId="116" fillId="17" borderId="92" xfId="0" applyNumberFormat="1" applyFont="1" applyFill="1" applyBorder="1" applyProtection="1">
      <protection locked="0"/>
    </xf>
    <xf numFmtId="10" fontId="100" fillId="17" borderId="1" xfId="0" applyNumberFormat="1" applyFont="1" applyFill="1" applyBorder="1" applyProtection="1">
      <protection locked="0"/>
    </xf>
    <xf numFmtId="0" fontId="1" fillId="0" borderId="0" xfId="0" applyFont="1" applyFill="1" applyAlignment="1">
      <alignment vertical="center"/>
    </xf>
    <xf numFmtId="0" fontId="107" fillId="0" borderId="0" xfId="0" applyFont="1" applyFill="1"/>
    <xf numFmtId="0" fontId="0" fillId="49" borderId="6" xfId="0" applyFill="1" applyBorder="1" applyAlignment="1">
      <alignment wrapText="1"/>
    </xf>
    <xf numFmtId="0" fontId="8" fillId="49" borderId="33" xfId="0" applyFont="1" applyFill="1" applyBorder="1" applyAlignment="1">
      <alignment wrapText="1"/>
    </xf>
    <xf numFmtId="0" fontId="1" fillId="49" borderId="6" xfId="0" applyFont="1" applyFill="1" applyBorder="1" applyAlignment="1">
      <alignment wrapText="1"/>
    </xf>
    <xf numFmtId="0" fontId="8" fillId="35" borderId="6" xfId="0" applyFont="1" applyFill="1" applyBorder="1" applyAlignment="1">
      <alignment wrapText="1"/>
    </xf>
    <xf numFmtId="0" fontId="8" fillId="50" borderId="6" xfId="0" applyFont="1" applyFill="1" applyBorder="1" applyAlignment="1">
      <alignment wrapText="1"/>
    </xf>
    <xf numFmtId="0" fontId="8" fillId="51" borderId="6" xfId="0" applyFont="1" applyFill="1" applyBorder="1" applyAlignment="1">
      <alignment wrapText="1"/>
    </xf>
    <xf numFmtId="0" fontId="1" fillId="35" borderId="6" xfId="0" applyFont="1" applyFill="1" applyBorder="1" applyAlignment="1">
      <alignment wrapText="1"/>
    </xf>
    <xf numFmtId="0" fontId="0" fillId="51" borderId="6" xfId="0" applyFill="1" applyBorder="1" applyAlignment="1">
      <alignment wrapText="1"/>
    </xf>
    <xf numFmtId="164" fontId="0" fillId="0" borderId="6" xfId="0" applyNumberFormat="1" applyFill="1" applyBorder="1"/>
    <xf numFmtId="49" fontId="0" fillId="0" borderId="6" xfId="0" applyNumberFormat="1" applyFill="1" applyBorder="1" applyAlignment="1">
      <alignment horizontal="right"/>
    </xf>
    <xf numFmtId="49" fontId="0" fillId="0" borderId="6" xfId="0" applyNumberFormat="1" applyFill="1" applyBorder="1"/>
    <xf numFmtId="0" fontId="0" fillId="0" borderId="6" xfId="0" applyNumberFormat="1" applyFill="1" applyBorder="1"/>
    <xf numFmtId="164" fontId="2" fillId="0" borderId="6" xfId="0" applyNumberFormat="1" applyFont="1" applyFill="1" applyBorder="1" applyAlignment="1"/>
    <xf numFmtId="164" fontId="0" fillId="0" borderId="6" xfId="0" applyNumberFormat="1" applyFill="1" applyBorder="1" applyAlignment="1">
      <alignment wrapText="1"/>
    </xf>
    <xf numFmtId="1" fontId="8" fillId="0" borderId="6" xfId="0" applyNumberFormat="1" applyFont="1" applyFill="1" applyBorder="1" applyAlignment="1" applyProtection="1">
      <alignment horizontal="center"/>
      <protection locked="0"/>
    </xf>
    <xf numFmtId="164" fontId="8" fillId="0" borderId="6" xfId="0" applyNumberFormat="1" applyFont="1" applyFill="1" applyBorder="1" applyProtection="1">
      <protection locked="0"/>
    </xf>
    <xf numFmtId="164" fontId="78" fillId="0" borderId="6" xfId="0" applyNumberFormat="1" applyFont="1" applyFill="1" applyBorder="1" applyProtection="1"/>
    <xf numFmtId="3" fontId="0" fillId="0" borderId="6" xfId="0" applyNumberFormat="1" applyFill="1" applyBorder="1"/>
    <xf numFmtId="164" fontId="78" fillId="0" borderId="6" xfId="0" applyNumberFormat="1" applyFont="1" applyFill="1" applyBorder="1" applyAlignment="1" applyProtection="1">
      <alignment horizontal="right"/>
    </xf>
    <xf numFmtId="0" fontId="29" fillId="50" borderId="24" xfId="0" applyFont="1" applyFill="1" applyBorder="1" applyAlignment="1">
      <alignment vertical="center"/>
    </xf>
    <xf numFmtId="0" fontId="8" fillId="50" borderId="6" xfId="0" applyFont="1" applyFill="1" applyBorder="1" applyAlignment="1">
      <alignment vertical="center"/>
    </xf>
    <xf numFmtId="0" fontId="0" fillId="50" borderId="6" xfId="0" applyFill="1" applyBorder="1"/>
    <xf numFmtId="0" fontId="8" fillId="52" borderId="6" xfId="0" applyFont="1" applyFill="1" applyBorder="1" applyAlignment="1">
      <alignment wrapText="1"/>
    </xf>
    <xf numFmtId="0" fontId="0" fillId="35" borderId="6" xfId="0" applyFill="1" applyBorder="1" applyAlignment="1">
      <alignment wrapText="1"/>
    </xf>
    <xf numFmtId="0" fontId="2" fillId="52" borderId="6" xfId="0" applyFont="1" applyFill="1" applyBorder="1" applyAlignment="1">
      <alignment wrapText="1"/>
    </xf>
    <xf numFmtId="0" fontId="0" fillId="52" borderId="6" xfId="0" applyFill="1" applyBorder="1" applyAlignment="1">
      <alignment wrapText="1"/>
    </xf>
    <xf numFmtId="164" fontId="8" fillId="52" borderId="6" xfId="0" applyNumberFormat="1" applyFont="1" applyFill="1" applyBorder="1" applyAlignment="1">
      <alignment wrapText="1"/>
    </xf>
    <xf numFmtId="0" fontId="1" fillId="52" borderId="6" xfId="0" applyFont="1" applyFill="1" applyBorder="1" applyAlignment="1">
      <alignment wrapText="1"/>
    </xf>
    <xf numFmtId="0" fontId="8" fillId="53" borderId="6" xfId="0" applyFont="1" applyFill="1" applyBorder="1" applyAlignment="1">
      <alignment wrapText="1"/>
    </xf>
    <xf numFmtId="0" fontId="2" fillId="53" borderId="6" xfId="0" applyFont="1" applyFill="1" applyBorder="1" applyAlignment="1">
      <alignment wrapText="1"/>
    </xf>
    <xf numFmtId="0" fontId="1" fillId="53" borderId="6" xfId="0" applyFont="1" applyFill="1" applyBorder="1" applyAlignment="1">
      <alignment wrapText="1"/>
    </xf>
    <xf numFmtId="0" fontId="0" fillId="53" borderId="6" xfId="0" applyFill="1" applyBorder="1" applyAlignment="1">
      <alignment wrapText="1"/>
    </xf>
    <xf numFmtId="0" fontId="1" fillId="36" borderId="6" xfId="0" applyFont="1" applyFill="1" applyBorder="1" applyAlignment="1">
      <alignment wrapText="1"/>
    </xf>
    <xf numFmtId="43" fontId="8" fillId="0" borderId="6" xfId="1" applyFont="1" applyFill="1" applyBorder="1" applyAlignment="1" applyProtection="1">
      <alignment horizontal="center"/>
      <protection locked="0"/>
    </xf>
    <xf numFmtId="0" fontId="8" fillId="36" borderId="6" xfId="0" applyFont="1" applyFill="1" applyBorder="1" applyAlignment="1">
      <alignment wrapText="1"/>
    </xf>
    <xf numFmtId="0" fontId="3" fillId="36" borderId="6" xfId="0" applyFont="1" applyFill="1" applyBorder="1" applyAlignment="1">
      <alignment wrapText="1"/>
    </xf>
    <xf numFmtId="0" fontId="0" fillId="36" borderId="6" xfId="0" applyFill="1" applyBorder="1" applyAlignment="1">
      <alignment wrapText="1"/>
    </xf>
    <xf numFmtId="164" fontId="8" fillId="0" borderId="9" xfId="0" applyNumberFormat="1" applyFont="1" applyFill="1" applyBorder="1" applyProtection="1">
      <protection locked="0"/>
    </xf>
    <xf numFmtId="164" fontId="0" fillId="36" borderId="6" xfId="0" applyNumberFormat="1" applyFill="1" applyBorder="1" applyAlignment="1">
      <alignment wrapText="1"/>
    </xf>
    <xf numFmtId="164" fontId="1" fillId="0" borderId="31" xfId="0" applyNumberFormat="1" applyFont="1" applyFill="1" applyBorder="1"/>
    <xf numFmtId="0" fontId="0" fillId="37" borderId="6" xfId="0" applyFill="1" applyBorder="1" applyAlignment="1">
      <alignment wrapText="1"/>
    </xf>
    <xf numFmtId="0" fontId="3" fillId="37" borderId="6" xfId="0" applyFont="1" applyFill="1" applyBorder="1" applyAlignment="1">
      <alignment wrapText="1"/>
    </xf>
    <xf numFmtId="169" fontId="78" fillId="0" borderId="6" xfId="1" applyNumberFormat="1" applyFont="1" applyFill="1" applyBorder="1" applyProtection="1"/>
    <xf numFmtId="43" fontId="78" fillId="0" borderId="6" xfId="1" applyFont="1" applyFill="1" applyBorder="1" applyAlignment="1" applyProtection="1">
      <alignment horizontal="right"/>
    </xf>
    <xf numFmtId="0" fontId="1" fillId="37" borderId="6" xfId="0" applyFont="1" applyFill="1" applyBorder="1" applyAlignment="1">
      <alignment wrapText="1"/>
    </xf>
    <xf numFmtId="164" fontId="0" fillId="37" borderId="6" xfId="0" applyNumberFormat="1" applyFill="1" applyBorder="1" applyAlignment="1">
      <alignment wrapText="1"/>
    </xf>
    <xf numFmtId="164" fontId="8" fillId="0" borderId="65" xfId="0" applyNumberFormat="1" applyFont="1" applyFill="1" applyBorder="1" applyAlignment="1" applyProtection="1">
      <alignment horizontal="right"/>
    </xf>
    <xf numFmtId="0" fontId="8" fillId="0" borderId="159" xfId="0" applyFont="1" applyFill="1" applyBorder="1" applyAlignment="1">
      <alignment wrapText="1"/>
    </xf>
    <xf numFmtId="0" fontId="8" fillId="55" borderId="6" xfId="0" applyFont="1" applyFill="1" applyBorder="1" applyAlignment="1">
      <alignment wrapText="1"/>
    </xf>
    <xf numFmtId="0" fontId="1" fillId="55" borderId="6" xfId="0" applyFont="1" applyFill="1" applyBorder="1" applyAlignment="1">
      <alignment wrapText="1"/>
    </xf>
    <xf numFmtId="0" fontId="0" fillId="55" borderId="6" xfId="0" applyFill="1" applyBorder="1" applyAlignment="1">
      <alignment wrapText="1"/>
    </xf>
    <xf numFmtId="164" fontId="0" fillId="0" borderId="24" xfId="0" applyNumberFormat="1" applyFill="1" applyBorder="1"/>
    <xf numFmtId="164" fontId="3" fillId="54" borderId="6" xfId="0" applyNumberFormat="1" applyFont="1" applyFill="1" applyBorder="1" applyAlignment="1">
      <alignment wrapText="1"/>
    </xf>
    <xf numFmtId="0" fontId="0" fillId="54" borderId="6" xfId="0" applyFill="1" applyBorder="1" applyAlignment="1">
      <alignment wrapText="1"/>
    </xf>
    <xf numFmtId="0" fontId="1" fillId="49" borderId="0" xfId="0" applyFont="1" applyFill="1"/>
    <xf numFmtId="0" fontId="34" fillId="35" borderId="8" xfId="0" applyFont="1" applyFill="1" applyBorder="1" applyAlignment="1">
      <alignment horizontal="right" wrapText="1"/>
    </xf>
    <xf numFmtId="0" fontId="34" fillId="51" borderId="13" xfId="0" applyFont="1" applyFill="1" applyBorder="1" applyAlignment="1">
      <alignment horizontal="right" wrapText="1"/>
    </xf>
    <xf numFmtId="14" fontId="34" fillId="52" borderId="13" xfId="0" applyNumberFormat="1" applyFont="1" applyFill="1" applyBorder="1" applyAlignment="1">
      <alignment horizontal="center" wrapText="1"/>
    </xf>
    <xf numFmtId="0" fontId="34" fillId="53" borderId="13" xfId="0" applyFont="1" applyFill="1" applyBorder="1" applyAlignment="1">
      <alignment horizontal="right" wrapText="1"/>
    </xf>
    <xf numFmtId="14" fontId="34" fillId="36" borderId="15" xfId="0" applyNumberFormat="1" applyFont="1" applyFill="1" applyBorder="1" applyAlignment="1">
      <alignment horizontal="center" wrapText="1"/>
    </xf>
    <xf numFmtId="14" fontId="34" fillId="37" borderId="15" xfId="0" applyNumberFormat="1" applyFont="1" applyFill="1" applyBorder="1" applyAlignment="1">
      <alignment horizontal="left" wrapText="1" indent="1"/>
    </xf>
    <xf numFmtId="164" fontId="34" fillId="55" borderId="6" xfId="0" applyNumberFormat="1" applyFont="1" applyFill="1" applyBorder="1" applyAlignment="1" applyProtection="1">
      <alignment horizontal="center" vertical="center" wrapText="1"/>
      <protection locked="0"/>
    </xf>
    <xf numFmtId="0" fontId="34" fillId="54" borderId="0" xfId="0" applyFont="1" applyFill="1" applyBorder="1" applyAlignment="1">
      <alignment horizontal="center" wrapText="1"/>
    </xf>
    <xf numFmtId="1" fontId="117" fillId="17" borderId="85" xfId="0" applyNumberFormat="1" applyFont="1" applyFill="1" applyBorder="1" applyAlignment="1" applyProtection="1">
      <alignment horizontal="center"/>
    </xf>
    <xf numFmtId="164" fontId="100" fillId="0" borderId="6" xfId="0" applyNumberFormat="1" applyFont="1" applyBorder="1" applyAlignment="1" applyProtection="1">
      <alignment horizontal="center" vertical="center"/>
    </xf>
    <xf numFmtId="164" fontId="8" fillId="0" borderId="9" xfId="0" applyNumberFormat="1" applyFont="1" applyBorder="1" applyProtection="1">
      <protection locked="0"/>
    </xf>
    <xf numFmtId="164" fontId="1" fillId="0" borderId="9" xfId="0" applyNumberFormat="1" applyFont="1" applyBorder="1" applyProtection="1">
      <protection locked="0"/>
    </xf>
    <xf numFmtId="164" fontId="1" fillId="0" borderId="9" xfId="0" applyNumberFormat="1" applyFont="1" applyFill="1" applyBorder="1" applyProtection="1">
      <protection locked="0"/>
    </xf>
    <xf numFmtId="0" fontId="1" fillId="0" borderId="9" xfId="0" applyFont="1" applyFill="1" applyBorder="1" applyAlignment="1">
      <alignment horizontal="center"/>
    </xf>
    <xf numFmtId="0" fontId="1" fillId="21" borderId="18" xfId="0" applyFont="1" applyFill="1" applyBorder="1" applyAlignment="1">
      <alignment horizontal="center"/>
    </xf>
    <xf numFmtId="164" fontId="1" fillId="3" borderId="0" xfId="0" applyNumberFormat="1" applyFont="1" applyFill="1" applyBorder="1" applyAlignment="1">
      <alignment horizontal="left"/>
    </xf>
    <xf numFmtId="3" fontId="1" fillId="0" borderId="9" xfId="0" applyNumberFormat="1" applyFont="1" applyFill="1" applyBorder="1" applyAlignment="1" applyProtection="1">
      <alignment horizontal="center"/>
      <protection locked="0"/>
    </xf>
    <xf numFmtId="164" fontId="8" fillId="0" borderId="146" xfId="0" applyNumberFormat="1" applyFont="1" applyBorder="1" applyProtection="1">
      <protection locked="0"/>
    </xf>
    <xf numFmtId="164" fontId="8" fillId="0" borderId="151" xfId="0" applyNumberFormat="1" applyFont="1" applyBorder="1" applyProtection="1">
      <protection locked="0"/>
    </xf>
    <xf numFmtId="164" fontId="8" fillId="0" borderId="151" xfId="0" applyNumberFormat="1" applyFont="1" applyFill="1" applyBorder="1" applyProtection="1">
      <protection locked="0"/>
    </xf>
    <xf numFmtId="0" fontId="1" fillId="0" borderId="9" xfId="0" applyFont="1" applyBorder="1" applyAlignment="1" applyProtection="1">
      <alignment horizontal="left"/>
      <protection locked="0"/>
    </xf>
    <xf numFmtId="164" fontId="1" fillId="3" borderId="9" xfId="0" applyNumberFormat="1" applyFont="1" applyFill="1" applyBorder="1"/>
    <xf numFmtId="164" fontId="8" fillId="0" borderId="146" xfId="0" applyNumberFormat="1" applyFont="1" applyFill="1" applyBorder="1" applyProtection="1">
      <protection locked="0"/>
    </xf>
    <xf numFmtId="0" fontId="1" fillId="0" borderId="9" xfId="0" applyFont="1" applyFill="1" applyBorder="1" applyAlignment="1" applyProtection="1">
      <alignment horizontal="left"/>
      <protection locked="0"/>
    </xf>
    <xf numFmtId="164" fontId="1" fillId="0" borderId="146" xfId="0" applyNumberFormat="1" applyFont="1" applyBorder="1" applyProtection="1">
      <protection locked="0"/>
    </xf>
    <xf numFmtId="0" fontId="1" fillId="3" borderId="0" xfId="0" applyFont="1" applyFill="1" applyBorder="1"/>
    <xf numFmtId="0" fontId="1" fillId="0" borderId="0" xfId="0" applyFont="1" applyFill="1" applyBorder="1"/>
    <xf numFmtId="0" fontId="1" fillId="3" borderId="38" xfId="0" applyFont="1" applyFill="1" applyBorder="1"/>
    <xf numFmtId="164" fontId="1" fillId="0" borderId="19" xfId="0" applyNumberFormat="1" applyFont="1" applyBorder="1" applyAlignment="1" applyProtection="1">
      <alignment wrapText="1"/>
    </xf>
    <xf numFmtId="164" fontId="1" fillId="0" borderId="0" xfId="0" applyNumberFormat="1" applyFont="1" applyFill="1" applyBorder="1" applyAlignment="1" applyProtection="1">
      <alignment wrapText="1"/>
    </xf>
    <xf numFmtId="164" fontId="1" fillId="0" borderId="0" xfId="0" applyNumberFormat="1" applyFont="1" applyFill="1" applyBorder="1" applyAlignment="1" applyProtection="1">
      <alignment wrapText="1"/>
      <protection locked="0"/>
    </xf>
    <xf numFmtId="164" fontId="1" fillId="0" borderId="28" xfId="0" applyNumberFormat="1" applyFont="1" applyFill="1" applyBorder="1" applyAlignment="1" applyProtection="1">
      <alignment wrapText="1"/>
      <protection locked="0"/>
    </xf>
    <xf numFmtId="0" fontId="1" fillId="3" borderId="28" xfId="0" applyFont="1" applyFill="1" applyBorder="1"/>
    <xf numFmtId="0" fontId="1" fillId="0" borderId="28" xfId="0" applyFont="1" applyFill="1" applyBorder="1"/>
    <xf numFmtId="0" fontId="1" fillId="3" borderId="19" xfId="0" applyFont="1" applyFill="1" applyBorder="1"/>
    <xf numFmtId="164" fontId="8" fillId="0" borderId="6" xfId="0" applyNumberFormat="1" applyFont="1" applyBorder="1" applyProtection="1">
      <protection locked="0"/>
    </xf>
    <xf numFmtId="164" fontId="1" fillId="0" borderId="19" xfId="0" applyNumberFormat="1" applyFont="1" applyFill="1" applyBorder="1" applyProtection="1">
      <protection locked="0"/>
    </xf>
    <xf numFmtId="164" fontId="1" fillId="0" borderId="6" xfId="0" applyNumberFormat="1" applyFont="1" applyBorder="1" applyProtection="1">
      <protection locked="0"/>
    </xf>
    <xf numFmtId="14" fontId="6" fillId="0" borderId="66" xfId="0" quotePrefix="1" applyNumberFormat="1" applyFont="1" applyFill="1" applyBorder="1" applyAlignment="1">
      <alignment vertical="center"/>
    </xf>
    <xf numFmtId="0" fontId="10" fillId="0" borderId="24" xfId="0" applyNumberFormat="1"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7" fillId="0" borderId="162" xfId="0" applyFont="1" applyFill="1" applyBorder="1" applyAlignment="1" applyProtection="1">
      <alignment horizontal="right" vertical="center" wrapText="1"/>
    </xf>
    <xf numFmtId="0" fontId="106" fillId="56" borderId="160" xfId="0" applyFont="1" applyFill="1" applyBorder="1" applyAlignment="1" applyProtection="1">
      <alignment horizontal="center" vertical="center"/>
    </xf>
    <xf numFmtId="0" fontId="16" fillId="0" borderId="161" xfId="3" applyFont="1" applyFill="1" applyBorder="1" applyAlignment="1" applyProtection="1">
      <alignment vertical="top"/>
    </xf>
    <xf numFmtId="0" fontId="16" fillId="0" borderId="164" xfId="0" applyFont="1" applyFill="1" applyBorder="1" applyAlignment="1">
      <alignment vertical="top" wrapText="1"/>
    </xf>
    <xf numFmtId="0" fontId="16" fillId="0" borderId="165" xfId="0" applyFont="1" applyFill="1" applyBorder="1" applyAlignment="1">
      <alignment vertical="top" wrapText="1"/>
    </xf>
    <xf numFmtId="0" fontId="19" fillId="0" borderId="166" xfId="0" applyFont="1" applyFill="1" applyBorder="1" applyAlignment="1">
      <alignment vertical="top"/>
    </xf>
    <xf numFmtId="0" fontId="16" fillId="0" borderId="163" xfId="0" applyFont="1" applyFill="1" applyBorder="1" applyAlignment="1">
      <alignment vertical="top" wrapText="1"/>
    </xf>
    <xf numFmtId="0" fontId="16" fillId="0" borderId="167" xfId="0" applyFont="1" applyFill="1" applyBorder="1" applyAlignment="1">
      <alignment vertical="top" wrapText="1"/>
    </xf>
    <xf numFmtId="0" fontId="39" fillId="0" borderId="39" xfId="3" applyFont="1" applyFill="1" applyBorder="1" applyAlignment="1" applyProtection="1">
      <alignment vertical="top"/>
    </xf>
    <xf numFmtId="164" fontId="7" fillId="17" borderId="6" xfId="0" applyNumberFormat="1" applyFont="1" applyFill="1" applyBorder="1"/>
    <xf numFmtId="0" fontId="31" fillId="3" borderId="1" xfId="0" applyFont="1" applyFill="1" applyBorder="1" applyAlignment="1">
      <alignment horizontal="center" vertical="center" wrapText="1"/>
    </xf>
    <xf numFmtId="0" fontId="34" fillId="3" borderId="34" xfId="0" applyFont="1" applyFill="1" applyBorder="1" applyAlignment="1">
      <alignment wrapText="1"/>
    </xf>
    <xf numFmtId="0" fontId="34" fillId="3" borderId="31" xfId="0" applyFont="1" applyFill="1" applyBorder="1" applyAlignment="1">
      <alignment wrapText="1"/>
    </xf>
    <xf numFmtId="0" fontId="120" fillId="57" borderId="168" xfId="4" applyFont="1" applyFill="1" applyBorder="1" applyAlignment="1">
      <alignment horizontal="center"/>
    </xf>
    <xf numFmtId="0" fontId="120" fillId="0" borderId="169" xfId="4" applyFont="1" applyFill="1" applyBorder="1" applyAlignment="1">
      <alignment wrapText="1"/>
    </xf>
    <xf numFmtId="0" fontId="120" fillId="0" borderId="169" xfId="4" applyFont="1" applyFill="1" applyBorder="1" applyAlignment="1">
      <alignment horizontal="right" wrapText="1"/>
    </xf>
    <xf numFmtId="0" fontId="121" fillId="0" borderId="0" xfId="4"/>
    <xf numFmtId="170" fontId="120" fillId="0" borderId="169" xfId="4" applyNumberFormat="1" applyFont="1" applyFill="1" applyBorder="1" applyAlignment="1">
      <alignment horizontal="right" wrapText="1"/>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0" fontId="31" fillId="32" borderId="161" xfId="0" applyFont="1" applyFill="1" applyBorder="1" applyAlignment="1">
      <alignment horizontal="center"/>
    </xf>
    <xf numFmtId="0" fontId="1" fillId="4" borderId="166" xfId="0" applyFont="1" applyFill="1" applyBorder="1" applyAlignment="1">
      <alignment horizontal="center"/>
    </xf>
    <xf numFmtId="0" fontId="0" fillId="4" borderId="161" xfId="0" applyFill="1" applyBorder="1" applyAlignment="1">
      <alignment horizontal="center"/>
    </xf>
    <xf numFmtId="0" fontId="2" fillId="4" borderId="7" xfId="0" applyFont="1" applyFill="1" applyBorder="1" applyAlignment="1">
      <alignment horizontal="center"/>
    </xf>
    <xf numFmtId="0" fontId="1" fillId="24" borderId="6" xfId="0" applyFont="1" applyFill="1" applyBorder="1" applyAlignment="1">
      <alignment horizontal="center"/>
    </xf>
    <xf numFmtId="0" fontId="0" fillId="24" borderId="6" xfId="0" applyFill="1" applyBorder="1"/>
    <xf numFmtId="0" fontId="1" fillId="24" borderId="6" xfId="0" applyFont="1" applyFill="1" applyBorder="1"/>
    <xf numFmtId="0" fontId="1" fillId="24" borderId="6" xfId="0" applyFont="1" applyFill="1" applyBorder="1" applyAlignment="1">
      <alignment horizontal="left" wrapText="1"/>
    </xf>
    <xf numFmtId="0" fontId="16" fillId="17" borderId="0" xfId="0" applyFont="1" applyFill="1" applyAlignment="1">
      <alignment horizontal="left" vertical="center" wrapText="1"/>
    </xf>
    <xf numFmtId="0" fontId="19" fillId="17" borderId="0" xfId="0" applyFont="1" applyFill="1" applyAlignment="1">
      <alignment horizontal="left" vertical="center"/>
    </xf>
    <xf numFmtId="0" fontId="16" fillId="17" borderId="0" xfId="0" applyFont="1" applyFill="1" applyAlignment="1">
      <alignment horizontal="left" vertical="center"/>
    </xf>
    <xf numFmtId="14" fontId="19" fillId="2" borderId="24" xfId="0" applyNumberFormat="1" applyFont="1" applyFill="1" applyBorder="1" applyAlignment="1" applyProtection="1">
      <alignment horizontal="center" vertical="center" wrapText="1"/>
      <protection locked="0"/>
    </xf>
    <xf numFmtId="165" fontId="8" fillId="44" borderId="0" xfId="0" applyNumberFormat="1" applyFont="1" applyFill="1" applyProtection="1">
      <protection locked="0"/>
    </xf>
    <xf numFmtId="8" fontId="121" fillId="0" borderId="0" xfId="4" applyNumberFormat="1"/>
    <xf numFmtId="8" fontId="0" fillId="0" borderId="0" xfId="0" applyNumberFormat="1"/>
    <xf numFmtId="0" fontId="107" fillId="0" borderId="162" xfId="0" applyFont="1" applyFill="1" applyBorder="1" applyAlignment="1" applyProtection="1">
      <alignment vertical="center" wrapText="1"/>
    </xf>
    <xf numFmtId="0" fontId="55" fillId="0" borderId="0" xfId="0" applyFont="1" applyBorder="1" applyAlignment="1">
      <alignment horizontal="center" vertical="top" wrapText="1"/>
    </xf>
    <xf numFmtId="14" fontId="3" fillId="0" borderId="163" xfId="0" applyNumberFormat="1" applyFont="1" applyFill="1" applyBorder="1" applyAlignment="1">
      <alignment horizontal="right" vertical="center"/>
    </xf>
    <xf numFmtId="14" fontId="19" fillId="0" borderId="164" xfId="0" quotePrefix="1" applyNumberFormat="1" applyFont="1" applyFill="1" applyBorder="1" applyAlignment="1">
      <alignment horizontal="center" vertical="center"/>
    </xf>
    <xf numFmtId="0" fontId="2" fillId="0" borderId="172" xfId="0" applyFont="1" applyFill="1" applyBorder="1" applyAlignment="1">
      <alignment wrapText="1"/>
    </xf>
    <xf numFmtId="0" fontId="10" fillId="0" borderId="163" xfId="0" applyFont="1" applyFill="1" applyBorder="1" applyAlignment="1" applyProtection="1">
      <alignment horizontal="center" vertical="center"/>
      <protection locked="0"/>
    </xf>
    <xf numFmtId="14" fontId="3" fillId="0" borderId="31" xfId="0" applyNumberFormat="1" applyFont="1" applyFill="1" applyBorder="1" applyAlignment="1">
      <alignment horizontal="center" vertical="center"/>
    </xf>
    <xf numFmtId="0" fontId="2" fillId="0" borderId="20" xfId="0" applyFont="1" applyFill="1" applyBorder="1" applyAlignment="1">
      <alignment horizontal="center" wrapText="1"/>
    </xf>
    <xf numFmtId="0" fontId="10" fillId="0" borderId="160" xfId="0" applyFont="1" applyBorder="1" applyAlignment="1" applyProtection="1">
      <alignment horizontal="left" vertical="center"/>
      <protection locked="0"/>
    </xf>
    <xf numFmtId="0" fontId="10" fillId="0" borderId="170" xfId="0" applyFont="1" applyFill="1" applyBorder="1" applyAlignment="1" applyProtection="1">
      <alignment horizontal="left" vertical="center"/>
      <protection locked="0"/>
    </xf>
    <xf numFmtId="0" fontId="10" fillId="40" borderId="0" xfId="0" applyFont="1" applyFill="1" applyBorder="1" applyAlignment="1">
      <alignment horizontal="left" vertical="center"/>
    </xf>
    <xf numFmtId="0" fontId="3" fillId="43" borderId="0" xfId="0" applyFont="1" applyFill="1" applyBorder="1" applyAlignment="1">
      <alignment horizontal="left"/>
    </xf>
    <xf numFmtId="0" fontId="7" fillId="43" borderId="0" xfId="0" quotePrefix="1" applyFont="1" applyFill="1" applyBorder="1" applyAlignment="1">
      <alignment horizontal="left"/>
    </xf>
    <xf numFmtId="0" fontId="55" fillId="0" borderId="164" xfId="0" applyFont="1" applyBorder="1" applyAlignment="1">
      <alignment horizontal="centerContinuous" vertical="top" wrapText="1"/>
    </xf>
    <xf numFmtId="0" fontId="5" fillId="3" borderId="170" xfId="0" applyFont="1" applyFill="1" applyBorder="1" applyAlignment="1">
      <alignment horizontal="centerContinuous" vertical="center"/>
    </xf>
    <xf numFmtId="49" fontId="10" fillId="31" borderId="24" xfId="0" applyNumberFormat="1" applyFont="1" applyFill="1" applyBorder="1" applyAlignment="1" applyProtection="1">
      <alignment horizontal="center" vertical="center"/>
    </xf>
    <xf numFmtId="0" fontId="10" fillId="31" borderId="24" xfId="0" applyNumberFormat="1" applyFont="1" applyFill="1" applyBorder="1" applyAlignment="1" applyProtection="1">
      <alignment horizontal="center" vertical="center"/>
    </xf>
    <xf numFmtId="0" fontId="10" fillId="31" borderId="24" xfId="0" applyFont="1" applyFill="1" applyBorder="1" applyAlignment="1" applyProtection="1">
      <alignment horizontal="center" vertical="center"/>
    </xf>
    <xf numFmtId="14" fontId="10" fillId="31" borderId="160" xfId="0" applyNumberFormat="1" applyFont="1" applyFill="1" applyBorder="1" applyAlignment="1" applyProtection="1">
      <alignment horizontal="center" vertical="center"/>
    </xf>
    <xf numFmtId="0" fontId="124" fillId="0" borderId="162" xfId="0" applyFont="1" applyFill="1" applyBorder="1" applyAlignment="1" applyProtection="1">
      <alignment vertical="center" wrapText="1"/>
    </xf>
    <xf numFmtId="0" fontId="124" fillId="0" borderId="162" xfId="0" applyFont="1" applyFill="1" applyBorder="1" applyAlignment="1" applyProtection="1">
      <alignment horizontal="right" vertical="center" wrapText="1"/>
    </xf>
    <xf numFmtId="0" fontId="20"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85" fillId="0" borderId="0" xfId="0" applyFont="1" applyAlignment="1">
      <alignment horizontal="left" vertical="center" wrapText="1"/>
    </xf>
    <xf numFmtId="0" fontId="13" fillId="3" borderId="6" xfId="0" applyFont="1" applyFill="1" applyBorder="1" applyAlignment="1">
      <alignment horizontal="left" vertical="center" wrapText="1"/>
    </xf>
    <xf numFmtId="0" fontId="1" fillId="0" borderId="0" xfId="0" applyFont="1" applyAlignment="1">
      <alignment horizontal="left" vertical="center"/>
    </xf>
    <xf numFmtId="0" fontId="55" fillId="0" borderId="28" xfId="0" applyFont="1" applyBorder="1" applyAlignment="1">
      <alignment horizontal="center" vertical="top" wrapText="1"/>
    </xf>
    <xf numFmtId="0" fontId="16" fillId="0" borderId="0" xfId="0" applyFont="1" applyFill="1" applyAlignment="1">
      <alignment horizontal="left" vertical="center" wrapText="1"/>
    </xf>
    <xf numFmtId="0" fontId="19" fillId="21" borderId="20" xfId="0" applyFont="1" applyFill="1" applyBorder="1" applyAlignment="1">
      <alignment horizontal="center" vertical="center" wrapText="1"/>
    </xf>
    <xf numFmtId="0" fontId="21" fillId="0" borderId="0" xfId="0" applyFont="1" applyAlignment="1">
      <alignment horizontal="left" vertical="center" wrapText="1"/>
    </xf>
    <xf numFmtId="0" fontId="16" fillId="0" borderId="31" xfId="0" applyFont="1" applyBorder="1" applyAlignment="1">
      <alignment horizontal="left" wrapText="1"/>
    </xf>
    <xf numFmtId="0" fontId="39" fillId="0" borderId="0" xfId="3" applyFont="1" applyAlignment="1" applyProtection="1">
      <alignment vertical="center"/>
      <protection locked="0"/>
    </xf>
    <xf numFmtId="0" fontId="39" fillId="0" borderId="0" xfId="3" applyFont="1" applyFill="1" applyAlignment="1" applyProtection="1">
      <alignment vertical="center"/>
      <protection locked="0"/>
    </xf>
    <xf numFmtId="0" fontId="16" fillId="0" borderId="20" xfId="0" applyFont="1" applyBorder="1" applyAlignment="1">
      <alignment horizontal="left" vertical="center" wrapText="1"/>
    </xf>
    <xf numFmtId="0" fontId="6"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Fill="1" applyAlignment="1">
      <alignment horizontal="left" wrapText="1"/>
    </xf>
    <xf numFmtId="0" fontId="16" fillId="0" borderId="0" xfId="0" applyFont="1" applyAlignment="1">
      <alignment horizontal="left" vertical="center"/>
    </xf>
    <xf numFmtId="0" fontId="16" fillId="0" borderId="0" xfId="0" applyFont="1" applyAlignment="1">
      <alignment vertical="top" wrapText="1"/>
    </xf>
    <xf numFmtId="0" fontId="39" fillId="0" borderId="0" xfId="3" applyFont="1" applyAlignment="1" applyProtection="1">
      <alignment vertical="center" wrapText="1"/>
    </xf>
    <xf numFmtId="0" fontId="16" fillId="17" borderId="0" xfId="0" applyFont="1" applyFill="1" applyAlignment="1">
      <alignment horizontal="left" vertical="center" wrapText="1"/>
    </xf>
    <xf numFmtId="0" fontId="16" fillId="17" borderId="0" xfId="0" applyFont="1" applyFill="1" applyAlignment="1">
      <alignment horizontal="left" vertical="center"/>
    </xf>
    <xf numFmtId="0" fontId="16" fillId="0" borderId="0" xfId="0" applyFont="1" applyAlignment="1">
      <alignment vertical="center" wrapText="1"/>
    </xf>
    <xf numFmtId="0" fontId="16" fillId="0" borderId="0" xfId="0" applyFont="1" applyFill="1" applyAlignment="1">
      <alignment vertical="center" wrapText="1"/>
    </xf>
    <xf numFmtId="0" fontId="114" fillId="0" borderId="39" xfId="0" applyFont="1" applyFill="1" applyBorder="1" applyAlignment="1">
      <alignment vertical="center" wrapText="1"/>
    </xf>
    <xf numFmtId="0" fontId="114" fillId="0" borderId="0" xfId="0" applyFont="1" applyFill="1" applyBorder="1" applyAlignment="1">
      <alignment vertical="center" wrapText="1"/>
    </xf>
    <xf numFmtId="0" fontId="19" fillId="2" borderId="4" xfId="0" applyFont="1" applyFill="1" applyBorder="1" applyAlignment="1">
      <alignment horizontal="left" vertical="center" wrapText="1"/>
    </xf>
    <xf numFmtId="0" fontId="19" fillId="2" borderId="27" xfId="0" applyFont="1" applyFill="1" applyBorder="1" applyAlignment="1">
      <alignment horizontal="left" vertical="center" wrapText="1"/>
    </xf>
    <xf numFmtId="0" fontId="40" fillId="29" borderId="69" xfId="0" applyFont="1" applyFill="1" applyBorder="1" applyAlignment="1">
      <alignment horizontal="center" vertical="center"/>
    </xf>
    <xf numFmtId="0" fontId="40" fillId="29" borderId="56" xfId="0" applyFont="1" applyFill="1" applyBorder="1" applyAlignment="1">
      <alignment horizontal="center" vertical="center"/>
    </xf>
    <xf numFmtId="0" fontId="16" fillId="2" borderId="4"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 fillId="32" borderId="0" xfId="0" applyFont="1" applyFill="1" applyAlignment="1">
      <alignment horizontal="center" vertical="center" wrapText="1"/>
    </xf>
    <xf numFmtId="0" fontId="6" fillId="0" borderId="9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19" fillId="2" borderId="105"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70" fillId="0" borderId="39" xfId="0" applyFont="1" applyBorder="1" applyAlignment="1">
      <alignment horizontal="center" vertical="center" wrapText="1"/>
    </xf>
    <xf numFmtId="0" fontId="70" fillId="0" borderId="0"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23" xfId="0" applyFont="1" applyBorder="1" applyAlignment="1">
      <alignment horizontal="center" vertical="center" wrapText="1"/>
    </xf>
    <xf numFmtId="0" fontId="19" fillId="3" borderId="31"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6" fillId="0" borderId="45" xfId="0" applyFont="1" applyFill="1" applyBorder="1" applyAlignment="1">
      <alignment vertical="center" wrapText="1"/>
    </xf>
    <xf numFmtId="0" fontId="34" fillId="30" borderId="84" xfId="0" applyFont="1" applyFill="1" applyBorder="1" applyAlignment="1">
      <alignment horizontal="center" vertical="center" wrapText="1"/>
    </xf>
    <xf numFmtId="0" fontId="34" fillId="30" borderId="67" xfId="0" applyFont="1" applyFill="1" applyBorder="1" applyAlignment="1">
      <alignment horizontal="center" vertical="center" wrapText="1"/>
    </xf>
    <xf numFmtId="0" fontId="16" fillId="2" borderId="27"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9" fillId="26" borderId="7" xfId="0" applyFont="1" applyFill="1" applyBorder="1" applyAlignment="1" applyProtection="1">
      <alignment horizontal="left" vertical="center" wrapText="1"/>
    </xf>
    <xf numFmtId="0" fontId="19" fillId="26" borderId="20" xfId="0" applyFont="1" applyFill="1" applyBorder="1" applyAlignment="1" applyProtection="1">
      <alignment horizontal="left" vertical="center" wrapText="1"/>
    </xf>
    <xf numFmtId="0" fontId="19" fillId="26" borderId="1" xfId="0" applyFont="1" applyFill="1" applyBorder="1" applyAlignment="1" applyProtection="1">
      <alignment horizontal="left" vertical="center" wrapText="1"/>
    </xf>
    <xf numFmtId="0" fontId="1" fillId="0" borderId="45" xfId="0" applyFont="1" applyFill="1" applyBorder="1" applyAlignment="1">
      <alignment horizontal="left" vertical="center" wrapText="1"/>
    </xf>
    <xf numFmtId="0" fontId="0" fillId="0" borderId="46" xfId="0" applyFill="1" applyBorder="1" applyAlignment="1">
      <alignment horizontal="left" vertical="center"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6" fillId="19" borderId="60" xfId="0" applyFont="1" applyFill="1" applyBorder="1" applyAlignment="1">
      <alignment horizontal="left" vertical="center" wrapText="1"/>
    </xf>
    <xf numFmtId="0" fontId="16" fillId="19" borderId="45" xfId="0" applyFont="1" applyFill="1" applyBorder="1" applyAlignment="1">
      <alignment horizontal="left" vertical="center" wrapText="1"/>
    </xf>
    <xf numFmtId="0" fontId="16" fillId="19" borderId="46" xfId="0" applyFont="1" applyFill="1" applyBorder="1" applyAlignment="1">
      <alignment horizontal="left" vertical="center" wrapText="1"/>
    </xf>
    <xf numFmtId="0" fontId="14" fillId="2" borderId="113" xfId="0" applyNumberFormat="1" applyFont="1" applyFill="1" applyBorder="1" applyAlignment="1">
      <alignment horizontal="left" vertical="center" wrapText="1"/>
    </xf>
    <xf numFmtId="0" fontId="14" fillId="2" borderId="114" xfId="0" applyNumberFormat="1" applyFont="1" applyFill="1" applyBorder="1" applyAlignment="1">
      <alignment horizontal="left" vertical="center" wrapText="1"/>
    </xf>
    <xf numFmtId="0" fontId="14" fillId="2" borderId="115" xfId="0" applyNumberFormat="1" applyFont="1" applyFill="1" applyBorder="1" applyAlignment="1">
      <alignment horizontal="left" vertical="center" wrapText="1"/>
    </xf>
    <xf numFmtId="0" fontId="19" fillId="0" borderId="7" xfId="0" applyFont="1" applyFill="1" applyBorder="1" applyAlignment="1" applyProtection="1">
      <alignment horizontal="right" vertical="center"/>
    </xf>
    <xf numFmtId="0" fontId="19" fillId="0" borderId="1" xfId="0" applyFont="1" applyFill="1" applyBorder="1" applyAlignment="1" applyProtection="1">
      <alignment horizontal="right" vertical="center"/>
    </xf>
    <xf numFmtId="0" fontId="19" fillId="18" borderId="7" xfId="0" applyFont="1" applyFill="1" applyBorder="1" applyAlignment="1" applyProtection="1">
      <alignment horizontal="left" vertical="center" wrapText="1"/>
    </xf>
    <xf numFmtId="0" fontId="19" fillId="18" borderId="20" xfId="0" applyFont="1" applyFill="1" applyBorder="1" applyAlignment="1" applyProtection="1">
      <alignment horizontal="left" vertical="center" wrapText="1"/>
    </xf>
    <xf numFmtId="0" fontId="19" fillId="18" borderId="1" xfId="0" applyFont="1" applyFill="1" applyBorder="1" applyAlignment="1" applyProtection="1">
      <alignment horizontal="left" vertical="center" wrapText="1"/>
    </xf>
    <xf numFmtId="0" fontId="19" fillId="18" borderId="32" xfId="0" applyFont="1" applyFill="1" applyBorder="1" applyAlignment="1" applyProtection="1">
      <alignment horizontal="left" vertical="center" wrapText="1"/>
    </xf>
    <xf numFmtId="0" fontId="19" fillId="18" borderId="28" xfId="0" applyFont="1" applyFill="1" applyBorder="1" applyAlignment="1" applyProtection="1">
      <alignment horizontal="left" vertical="center" wrapText="1"/>
    </xf>
    <xf numFmtId="0" fontId="19" fillId="18" borderId="19" xfId="0" applyFont="1" applyFill="1" applyBorder="1" applyAlignment="1" applyProtection="1">
      <alignment horizontal="left" vertical="center" wrapText="1"/>
    </xf>
    <xf numFmtId="0" fontId="61" fillId="3" borderId="7" xfId="0" applyFont="1" applyFill="1" applyBorder="1" applyAlignment="1" applyProtection="1">
      <alignment horizontal="left" vertical="center"/>
    </xf>
    <xf numFmtId="0" fontId="61" fillId="3" borderId="20" xfId="0" applyFont="1" applyFill="1" applyBorder="1" applyAlignment="1" applyProtection="1">
      <alignment horizontal="left" vertical="center"/>
    </xf>
    <xf numFmtId="0" fontId="22" fillId="3" borderId="20" xfId="0" applyFont="1" applyFill="1" applyBorder="1" applyAlignment="1" applyProtection="1">
      <alignment horizontal="left" vertical="center"/>
    </xf>
    <xf numFmtId="0" fontId="6" fillId="19" borderId="55" xfId="0" applyFont="1" applyFill="1" applyBorder="1" applyAlignment="1" applyProtection="1">
      <alignment horizontal="center" vertical="center" textRotation="90" wrapText="1"/>
    </xf>
    <xf numFmtId="0" fontId="6" fillId="19" borderId="40" xfId="0" applyFont="1" applyFill="1" applyBorder="1" applyAlignment="1" applyProtection="1">
      <alignment horizontal="center" vertical="center" textRotation="90" wrapText="1"/>
    </xf>
    <xf numFmtId="0" fontId="6" fillId="19" borderId="62" xfId="0" applyFont="1" applyFill="1" applyBorder="1" applyAlignment="1" applyProtection="1">
      <alignment horizontal="center" vertical="center" textRotation="90" wrapText="1"/>
    </xf>
    <xf numFmtId="0" fontId="72" fillId="0" borderId="28" xfId="0" applyFont="1" applyBorder="1" applyAlignment="1" applyProtection="1">
      <alignment horizontal="center" wrapText="1"/>
    </xf>
    <xf numFmtId="0" fontId="19" fillId="3" borderId="7"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10" fillId="18" borderId="20" xfId="0" applyFont="1" applyFill="1" applyBorder="1" applyAlignment="1" applyProtection="1">
      <alignment horizontal="left" vertical="center" wrapText="1"/>
    </xf>
    <xf numFmtId="0" fontId="10" fillId="18" borderId="1" xfId="0" applyFont="1" applyFill="1" applyBorder="1" applyAlignment="1" applyProtection="1">
      <alignment horizontal="left" vertical="center" wrapText="1"/>
    </xf>
    <xf numFmtId="0" fontId="3" fillId="19" borderId="61" xfId="0" applyFont="1" applyFill="1" applyBorder="1" applyAlignment="1" applyProtection="1">
      <alignment horizontal="center" vertical="center" textRotation="90" wrapText="1"/>
    </xf>
    <xf numFmtId="0" fontId="3" fillId="19" borderId="40" xfId="0" applyFont="1" applyFill="1" applyBorder="1" applyAlignment="1" applyProtection="1">
      <alignment horizontal="center" vertical="center" textRotation="90" wrapText="1"/>
    </xf>
    <xf numFmtId="0" fontId="3" fillId="19" borderId="62" xfId="0" applyFont="1" applyFill="1" applyBorder="1" applyAlignment="1" applyProtection="1">
      <alignment horizontal="center" vertical="center" textRotation="90" wrapText="1"/>
    </xf>
    <xf numFmtId="0" fontId="6" fillId="19" borderId="23" xfId="0" applyFont="1" applyFill="1" applyBorder="1" applyAlignment="1" applyProtection="1">
      <alignment horizontal="center" vertical="center" textRotation="90"/>
    </xf>
    <xf numFmtId="0" fontId="6" fillId="19" borderId="38" xfId="0" applyFont="1" applyFill="1" applyBorder="1" applyAlignment="1" applyProtection="1">
      <alignment horizontal="center" vertical="center" textRotation="90"/>
    </xf>
    <xf numFmtId="0" fontId="6" fillId="19" borderId="40" xfId="0" applyFont="1" applyFill="1" applyBorder="1" applyAlignment="1" applyProtection="1">
      <alignment horizontal="center" vertical="center" textRotation="90"/>
    </xf>
    <xf numFmtId="0" fontId="22" fillId="2" borderId="7" xfId="0" applyFont="1" applyFill="1" applyBorder="1" applyAlignment="1" applyProtection="1">
      <alignment horizontal="center" vertical="center" wrapText="1"/>
    </xf>
    <xf numFmtId="0" fontId="22" fillId="2" borderId="20" xfId="0" applyFont="1" applyFill="1" applyBorder="1" applyAlignment="1" applyProtection="1">
      <alignment horizontal="center" vertical="center" wrapText="1"/>
    </xf>
    <xf numFmtId="49" fontId="1" fillId="17" borderId="7" xfId="0" applyNumberFormat="1" applyFont="1" applyFill="1" applyBorder="1" applyAlignment="1" applyProtection="1">
      <alignment horizontal="left" vertical="top" wrapText="1"/>
      <protection locked="0"/>
    </xf>
    <xf numFmtId="49" fontId="2" fillId="17" borderId="20" xfId="0" applyNumberFormat="1" applyFont="1" applyFill="1" applyBorder="1" applyAlignment="1" applyProtection="1">
      <alignment horizontal="left" vertical="top" wrapText="1"/>
      <protection locked="0"/>
    </xf>
    <xf numFmtId="49" fontId="2" fillId="17" borderId="1" xfId="0" applyNumberFormat="1" applyFont="1" applyFill="1" applyBorder="1" applyAlignment="1" applyProtection="1">
      <alignment horizontal="left" vertical="top" wrapText="1"/>
      <protection locked="0"/>
    </xf>
    <xf numFmtId="0" fontId="19" fillId="2" borderId="7"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10" fontId="19" fillId="2" borderId="7" xfId="0" applyNumberFormat="1" applyFont="1" applyFill="1" applyBorder="1" applyAlignment="1" applyProtection="1">
      <alignment horizontal="center" vertical="center" wrapText="1"/>
    </xf>
    <xf numFmtId="10" fontId="19" fillId="2" borderId="20" xfId="0" applyNumberFormat="1" applyFont="1" applyFill="1" applyBorder="1" applyAlignment="1" applyProtection="1">
      <alignment horizontal="center" vertical="center" wrapText="1"/>
    </xf>
    <xf numFmtId="0" fontId="6" fillId="18" borderId="7" xfId="0" applyFont="1" applyFill="1" applyBorder="1" applyAlignment="1" applyProtection="1">
      <alignment horizontal="left" vertical="center" wrapText="1"/>
    </xf>
    <xf numFmtId="0" fontId="6" fillId="18" borderId="20" xfId="0" applyFont="1" applyFill="1" applyBorder="1" applyAlignment="1" applyProtection="1">
      <alignment horizontal="left" vertical="center" wrapText="1"/>
    </xf>
    <xf numFmtId="0" fontId="6" fillId="18" borderId="1" xfId="0" applyFont="1" applyFill="1" applyBorder="1" applyAlignment="1" applyProtection="1">
      <alignment horizontal="left" vertical="center" wrapText="1"/>
    </xf>
    <xf numFmtId="0" fontId="6" fillId="18" borderId="20" xfId="0" applyFont="1" applyFill="1" applyBorder="1" applyAlignment="1" applyProtection="1">
      <alignment horizontal="left" vertical="center"/>
    </xf>
    <xf numFmtId="0" fontId="6" fillId="18" borderId="1" xfId="0" applyFont="1" applyFill="1" applyBorder="1" applyAlignment="1" applyProtection="1">
      <alignment horizontal="left" vertical="center"/>
    </xf>
    <xf numFmtId="0" fontId="19" fillId="3" borderId="1" xfId="0" applyFont="1" applyFill="1" applyBorder="1" applyAlignment="1" applyProtection="1">
      <alignment horizontal="center" vertical="center"/>
    </xf>
    <xf numFmtId="0" fontId="10" fillId="3" borderId="20" xfId="0" applyFont="1" applyFill="1" applyBorder="1" applyAlignment="1" applyProtection="1">
      <alignment horizontal="left" vertical="center"/>
    </xf>
    <xf numFmtId="0" fontId="87" fillId="0" borderId="7" xfId="0" applyFont="1" applyBorder="1" applyAlignment="1">
      <alignment wrapText="1"/>
    </xf>
    <xf numFmtId="0" fontId="87" fillId="0" borderId="20" xfId="0" applyFont="1" applyBorder="1" applyAlignment="1">
      <alignment wrapText="1"/>
    </xf>
    <xf numFmtId="0" fontId="1" fillId="35" borderId="1" xfId="0" applyFont="1" applyFill="1" applyBorder="1" applyAlignment="1">
      <alignment horizontal="center" wrapText="1"/>
    </xf>
    <xf numFmtId="0" fontId="1" fillId="35" borderId="6" xfId="0" applyFont="1" applyFill="1" applyBorder="1" applyAlignment="1">
      <alignment horizontal="center" wrapText="1"/>
    </xf>
    <xf numFmtId="0" fontId="1" fillId="35" borderId="95" xfId="0" applyFont="1" applyFill="1" applyBorder="1" applyAlignment="1">
      <alignment horizontal="center" wrapText="1"/>
    </xf>
    <xf numFmtId="0" fontId="1" fillId="35" borderId="31" xfId="0" applyFont="1" applyFill="1" applyBorder="1" applyAlignment="1">
      <alignment horizontal="center" wrapText="1"/>
    </xf>
    <xf numFmtId="0" fontId="1" fillId="35" borderId="23" xfId="0" applyFont="1" applyFill="1" applyBorder="1" applyAlignment="1">
      <alignment horizontal="center" wrapText="1"/>
    </xf>
    <xf numFmtId="0" fontId="1" fillId="35" borderId="77" xfId="0" applyFont="1" applyFill="1" applyBorder="1" applyAlignment="1">
      <alignment horizontal="center" wrapText="1"/>
    </xf>
    <xf numFmtId="0" fontId="1" fillId="35" borderId="20" xfId="0" applyFont="1" applyFill="1" applyBorder="1" applyAlignment="1">
      <alignment horizontal="center" wrapText="1"/>
    </xf>
    <xf numFmtId="0" fontId="69" fillId="0" borderId="7"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 xfId="0" applyFont="1" applyBorder="1" applyAlignment="1">
      <alignment horizontal="center" vertical="center" wrapText="1"/>
    </xf>
    <xf numFmtId="0" fontId="7" fillId="3" borderId="78" xfId="0" applyFont="1" applyFill="1" applyBorder="1" applyAlignment="1">
      <alignment horizontal="center"/>
    </xf>
    <xf numFmtId="0" fontId="7" fillId="3" borderId="52" xfId="0" applyFont="1" applyFill="1" applyBorder="1" applyAlignment="1">
      <alignment horizontal="center"/>
    </xf>
    <xf numFmtId="0" fontId="7" fillId="3" borderId="79" xfId="0" applyFont="1" applyFill="1" applyBorder="1" applyAlignment="1">
      <alignment horizontal="center"/>
    </xf>
    <xf numFmtId="0" fontId="80" fillId="33" borderId="34" xfId="0" applyFont="1" applyFill="1" applyBorder="1" applyAlignment="1" applyProtection="1">
      <alignment horizontal="left" vertical="center" wrapText="1"/>
    </xf>
    <xf numFmtId="0" fontId="80" fillId="33" borderId="31" xfId="0" applyFont="1" applyFill="1" applyBorder="1" applyAlignment="1" applyProtection="1">
      <alignment horizontal="left" vertical="center" wrapText="1"/>
    </xf>
    <xf numFmtId="0" fontId="80" fillId="33" borderId="23" xfId="0" applyFont="1" applyFill="1" applyBorder="1" applyAlignment="1" applyProtection="1">
      <alignment horizontal="left" vertical="center" wrapText="1"/>
    </xf>
    <xf numFmtId="0" fontId="80" fillId="33" borderId="32" xfId="0" applyFont="1" applyFill="1" applyBorder="1" applyAlignment="1" applyProtection="1">
      <alignment horizontal="left" vertical="center" wrapText="1"/>
    </xf>
    <xf numFmtId="0" fontId="80" fillId="33" borderId="28" xfId="0" applyFont="1" applyFill="1" applyBorder="1" applyAlignment="1" applyProtection="1">
      <alignment horizontal="left" vertical="center" wrapText="1"/>
    </xf>
    <xf numFmtId="0" fontId="80" fillId="33" borderId="19" xfId="0" applyFont="1" applyFill="1" applyBorder="1" applyAlignment="1" applyProtection="1">
      <alignment horizontal="left" vertical="center" wrapText="1"/>
    </xf>
    <xf numFmtId="0" fontId="80" fillId="33" borderId="77" xfId="0" applyFont="1" applyFill="1" applyBorder="1" applyAlignment="1" applyProtection="1">
      <alignment horizontal="left" wrapText="1"/>
    </xf>
    <xf numFmtId="0" fontId="80" fillId="33" borderId="20" xfId="0" applyFont="1" applyFill="1" applyBorder="1" applyAlignment="1" applyProtection="1">
      <alignment horizontal="left" wrapText="1"/>
    </xf>
    <xf numFmtId="0" fontId="1" fillId="35" borderId="77"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6" fillId="0" borderId="28" xfId="0" applyFont="1" applyBorder="1" applyAlignment="1">
      <alignment horizontal="center" vertical="center" wrapText="1"/>
    </xf>
    <xf numFmtId="0" fontId="7" fillId="3" borderId="7" xfId="0" applyFont="1" applyFill="1" applyBorder="1" applyAlignment="1">
      <alignment horizontal="left"/>
    </xf>
    <xf numFmtId="0" fontId="7" fillId="3" borderId="20" xfId="0" applyFont="1" applyFill="1" applyBorder="1" applyAlignment="1">
      <alignment horizontal="left"/>
    </xf>
    <xf numFmtId="0" fontId="7" fillId="3" borderId="1" xfId="0" applyFont="1" applyFill="1" applyBorder="1" applyAlignment="1">
      <alignment horizontal="left"/>
    </xf>
    <xf numFmtId="0" fontId="7" fillId="3" borderId="54" xfId="0" applyFont="1" applyFill="1" applyBorder="1" applyAlignment="1" applyProtection="1">
      <alignment horizontal="center"/>
    </xf>
    <xf numFmtId="0" fontId="7" fillId="3" borderId="56" xfId="0" applyFont="1" applyFill="1" applyBorder="1" applyAlignment="1" applyProtection="1">
      <alignment horizontal="center"/>
    </xf>
    <xf numFmtId="0" fontId="7" fillId="3" borderId="57"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6" xfId="0" applyFont="1" applyFill="1" applyBorder="1" applyAlignment="1" applyProtection="1">
      <alignment horizontal="center"/>
    </xf>
    <xf numFmtId="0" fontId="3" fillId="3" borderId="57" xfId="0" applyFont="1" applyFill="1" applyBorder="1" applyAlignment="1" applyProtection="1">
      <alignment horizontal="center"/>
    </xf>
    <xf numFmtId="0" fontId="30" fillId="12" borderId="126" xfId="0" applyFont="1" applyFill="1" applyBorder="1" applyAlignment="1">
      <alignment horizontal="left" vertical="center" wrapText="1"/>
    </xf>
    <xf numFmtId="0" fontId="30" fillId="12" borderId="17" xfId="0" applyFont="1" applyFill="1" applyBorder="1" applyAlignment="1">
      <alignment horizontal="left" vertical="center" wrapText="1"/>
    </xf>
    <xf numFmtId="0" fontId="30" fillId="12" borderId="127" xfId="0" applyFont="1" applyFill="1" applyBorder="1" applyAlignment="1">
      <alignment horizontal="left" vertical="center" wrapText="1"/>
    </xf>
    <xf numFmtId="0" fontId="1" fillId="11" borderId="39" xfId="0" applyFont="1" applyFill="1" applyBorder="1" applyAlignment="1">
      <alignment horizontal="left" vertical="center"/>
    </xf>
    <xf numFmtId="0" fontId="1" fillId="11" borderId="0" xfId="0" applyFont="1" applyFill="1" applyBorder="1" applyAlignment="1">
      <alignment horizontal="left" vertical="center"/>
    </xf>
    <xf numFmtId="0" fontId="7" fillId="0" borderId="0" xfId="0" applyFont="1" applyAlignment="1">
      <alignment horizontal="center" vertical="center"/>
    </xf>
    <xf numFmtId="0" fontId="4" fillId="36" borderId="72" xfId="0" applyFont="1" applyFill="1" applyBorder="1" applyAlignment="1">
      <alignment horizontal="center" vertical="top" wrapText="1"/>
    </xf>
    <xf numFmtId="0" fontId="4" fillId="36" borderId="20" xfId="0" applyFont="1" applyFill="1" applyBorder="1" applyAlignment="1">
      <alignment horizontal="center" vertical="top" wrapText="1"/>
    </xf>
    <xf numFmtId="0" fontId="4" fillId="36" borderId="80" xfId="0" applyFont="1" applyFill="1" applyBorder="1" applyAlignment="1">
      <alignment horizontal="center" vertical="top" wrapText="1"/>
    </xf>
    <xf numFmtId="0" fontId="1" fillId="29" borderId="1" xfId="0" applyFont="1" applyFill="1" applyBorder="1" applyAlignment="1">
      <alignment horizontal="center"/>
    </xf>
    <xf numFmtId="0" fontId="1" fillId="29" borderId="6" xfId="0" applyFont="1" applyFill="1" applyBorder="1" applyAlignment="1">
      <alignment horizontal="center"/>
    </xf>
    <xf numFmtId="0" fontId="7" fillId="3" borderId="136" xfId="0" applyFont="1" applyFill="1" applyBorder="1" applyAlignment="1">
      <alignment horizontal="center"/>
    </xf>
    <xf numFmtId="0" fontId="7" fillId="3" borderId="76" xfId="0" applyFont="1" applyFill="1" applyBorder="1" applyAlignment="1">
      <alignment horizontal="center"/>
    </xf>
    <xf numFmtId="0" fontId="7" fillId="3" borderId="137" xfId="0" applyFont="1" applyFill="1" applyBorder="1" applyAlignment="1">
      <alignment horizontal="center"/>
    </xf>
    <xf numFmtId="0" fontId="24" fillId="0" borderId="7" xfId="0" applyFont="1" applyFill="1" applyBorder="1" applyAlignment="1">
      <alignment horizontal="left" vertical="top" wrapText="1" indent="1"/>
    </xf>
    <xf numFmtId="0" fontId="24" fillId="0" borderId="20" xfId="0" applyFont="1" applyFill="1" applyBorder="1" applyAlignment="1">
      <alignment horizontal="left" vertical="top" wrapText="1" indent="1"/>
    </xf>
    <xf numFmtId="0" fontId="12" fillId="0" borderId="20" xfId="0" applyFont="1" applyFill="1" applyBorder="1" applyAlignment="1">
      <alignment wrapText="1"/>
    </xf>
    <xf numFmtId="0" fontId="12" fillId="0" borderId="1" xfId="0" applyFont="1" applyFill="1" applyBorder="1" applyAlignment="1">
      <alignment wrapText="1"/>
    </xf>
    <xf numFmtId="164" fontId="29" fillId="0" borderId="7" xfId="0" applyNumberFormat="1" applyFont="1" applyFill="1" applyBorder="1" applyAlignment="1" applyProtection="1">
      <alignment wrapText="1"/>
      <protection locked="0"/>
    </xf>
    <xf numFmtId="164" fontId="29" fillId="0" borderId="20" xfId="0" applyNumberFormat="1" applyFont="1" applyFill="1" applyBorder="1" applyAlignment="1" applyProtection="1">
      <alignment wrapText="1"/>
      <protection locked="0"/>
    </xf>
    <xf numFmtId="164" fontId="29" fillId="0" borderId="1" xfId="0" applyNumberFormat="1" applyFont="1" applyFill="1" applyBorder="1" applyAlignment="1" applyProtection="1">
      <alignment wrapText="1"/>
      <protection locked="0"/>
    </xf>
    <xf numFmtId="0" fontId="29" fillId="0" borderId="7"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protection locked="0"/>
    </xf>
    <xf numFmtId="0" fontId="1" fillId="0" borderId="1" xfId="0" applyFont="1" applyFill="1" applyBorder="1" applyAlignment="1" applyProtection="1">
      <alignment horizontal="left" vertical="top"/>
      <protection locked="0"/>
    </xf>
    <xf numFmtId="0" fontId="2" fillId="31" borderId="6" xfId="0" applyFont="1" applyFill="1" applyBorder="1" applyAlignment="1">
      <alignment horizontal="left" wrapText="1"/>
    </xf>
    <xf numFmtId="0" fontId="1" fillId="0" borderId="16" xfId="0" applyFont="1" applyFill="1" applyBorder="1" applyAlignment="1" applyProtection="1">
      <alignment horizontal="left" wrapText="1"/>
      <protection locked="0"/>
    </xf>
    <xf numFmtId="0" fontId="1" fillId="0" borderId="17" xfId="0" applyFont="1" applyFill="1" applyBorder="1" applyAlignment="1" applyProtection="1">
      <alignment horizontal="left" wrapText="1"/>
      <protection locked="0"/>
    </xf>
    <xf numFmtId="0" fontId="1" fillId="0" borderId="17" xfId="0" applyFont="1" applyBorder="1" applyProtection="1">
      <protection locked="0"/>
    </xf>
    <xf numFmtId="0" fontId="1" fillId="0" borderId="35" xfId="0" applyFont="1" applyBorder="1" applyProtection="1">
      <protection locked="0"/>
    </xf>
    <xf numFmtId="0" fontId="24" fillId="0" borderId="7"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7" xfId="0" applyFont="1" applyBorder="1" applyAlignment="1" applyProtection="1">
      <alignment vertical="top"/>
      <protection locked="0"/>
    </xf>
    <xf numFmtId="0" fontId="1" fillId="0" borderId="35" xfId="0" applyFont="1" applyBorder="1" applyAlignment="1" applyProtection="1">
      <alignment vertical="top"/>
      <protection locked="0"/>
    </xf>
    <xf numFmtId="0" fontId="3" fillId="0" borderId="3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3" fillId="13" borderId="20"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4" fillId="2" borderId="34" xfId="0" applyFont="1" applyFill="1" applyBorder="1" applyAlignment="1" applyProtection="1">
      <alignment horizontal="left" vertical="top" wrapText="1"/>
      <protection locked="0"/>
    </xf>
    <xf numFmtId="0" fontId="34" fillId="2" borderId="31" xfId="0" applyFont="1" applyFill="1" applyBorder="1" applyAlignment="1" applyProtection="1">
      <alignment horizontal="left" vertical="top" wrapText="1"/>
      <protection locked="0"/>
    </xf>
    <xf numFmtId="0" fontId="34" fillId="2" borderId="23" xfId="0" applyFont="1" applyFill="1" applyBorder="1" applyAlignment="1" applyProtection="1">
      <alignment horizontal="left" vertical="top" wrapText="1"/>
      <protection locked="0"/>
    </xf>
    <xf numFmtId="0" fontId="34" fillId="2" borderId="7" xfId="0" applyFont="1" applyFill="1" applyBorder="1" applyAlignment="1" applyProtection="1">
      <alignment horizontal="left" vertical="top" wrapText="1"/>
      <protection locked="0"/>
    </xf>
    <xf numFmtId="0" fontId="34" fillId="2" borderId="20" xfId="0" applyFont="1" applyFill="1" applyBorder="1" applyAlignment="1" applyProtection="1">
      <alignment horizontal="left" vertical="top" wrapText="1"/>
      <protection locked="0"/>
    </xf>
    <xf numFmtId="0" fontId="34" fillId="2" borderId="1" xfId="0" applyFont="1" applyFill="1" applyBorder="1" applyAlignment="1" applyProtection="1">
      <alignment horizontal="left" vertical="top" wrapText="1"/>
      <protection locked="0"/>
    </xf>
    <xf numFmtId="0" fontId="34" fillId="3" borderId="7" xfId="0" applyFont="1" applyFill="1" applyBorder="1" applyAlignment="1">
      <alignment horizontal="left" wrapText="1"/>
    </xf>
    <xf numFmtId="0" fontId="34" fillId="3" borderId="20" xfId="0" applyFont="1" applyFill="1" applyBorder="1" applyAlignment="1">
      <alignment horizontal="left" wrapText="1"/>
    </xf>
    <xf numFmtId="0" fontId="34" fillId="3" borderId="1" xfId="0" applyFont="1" applyFill="1" applyBorder="1" applyAlignment="1">
      <alignment horizontal="left" wrapText="1"/>
    </xf>
    <xf numFmtId="0" fontId="1" fillId="2" borderId="7" xfId="0" applyFont="1" applyFill="1" applyBorder="1" applyAlignment="1" applyProtection="1">
      <alignment horizontal="left" vertical="top" wrapText="1"/>
    </xf>
    <xf numFmtId="0" fontId="1" fillId="2" borderId="2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164" fontId="2" fillId="3" borderId="7" xfId="0" applyNumberFormat="1" applyFont="1" applyFill="1" applyBorder="1" applyAlignment="1" applyProtection="1">
      <alignment horizontal="left" vertical="center"/>
      <protection locked="0"/>
    </xf>
    <xf numFmtId="164" fontId="2" fillId="3" borderId="20"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0" fontId="1" fillId="0" borderId="7"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24" fillId="4" borderId="158"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3" fillId="13" borderId="32" xfId="0" applyFont="1" applyFill="1" applyBorder="1" applyAlignment="1">
      <alignment horizontal="left" vertical="center" wrapText="1"/>
    </xf>
    <xf numFmtId="0" fontId="3" fillId="13" borderId="28" xfId="0" applyFont="1" applyFill="1" applyBorder="1" applyAlignment="1">
      <alignment horizontal="left" vertical="center" wrapText="1"/>
    </xf>
    <xf numFmtId="0" fontId="3" fillId="13" borderId="19" xfId="0" applyFont="1" applyFill="1" applyBorder="1" applyAlignment="1">
      <alignment horizontal="left" vertical="center" wrapText="1"/>
    </xf>
    <xf numFmtId="0" fontId="119" fillId="3" borderId="20" xfId="0" applyFont="1" applyFill="1" applyBorder="1" applyAlignment="1">
      <alignment horizontal="left" wrapText="1"/>
    </xf>
    <xf numFmtId="0" fontId="119" fillId="3" borderId="1" xfId="0" applyFont="1" applyFill="1" applyBorder="1" applyAlignment="1">
      <alignment horizontal="left" wrapText="1"/>
    </xf>
    <xf numFmtId="0" fontId="80" fillId="33" borderId="56" xfId="0" applyFont="1" applyFill="1" applyBorder="1" applyAlignment="1">
      <alignment horizontal="left" vertical="top" wrapText="1"/>
    </xf>
    <xf numFmtId="0" fontId="80" fillId="33" borderId="0" xfId="0" applyFont="1" applyFill="1" applyBorder="1" applyAlignment="1">
      <alignment horizontal="left" vertical="top" wrapText="1"/>
    </xf>
    <xf numFmtId="0" fontId="1" fillId="21" borderId="0" xfId="0" applyFont="1" applyFill="1" applyAlignment="1">
      <alignment horizontal="center" wrapText="1"/>
    </xf>
    <xf numFmtId="0" fontId="3" fillId="17" borderId="7" xfId="0" applyFont="1" applyFill="1" applyBorder="1" applyAlignment="1">
      <alignment horizontal="left" vertical="center" wrapText="1"/>
    </xf>
    <xf numFmtId="0" fontId="3" fillId="17" borderId="20" xfId="0" applyFont="1" applyFill="1" applyBorder="1" applyAlignment="1">
      <alignment horizontal="left" vertical="center" wrapText="1"/>
    </xf>
    <xf numFmtId="0" fontId="1" fillId="0" borderId="7" xfId="0" applyFont="1" applyBorder="1" applyAlignment="1" applyProtection="1">
      <alignment horizontal="left"/>
    </xf>
    <xf numFmtId="0" fontId="1" fillId="0" borderId="20" xfId="0" applyFont="1" applyBorder="1" applyAlignment="1" applyProtection="1">
      <alignment horizontal="left"/>
    </xf>
    <xf numFmtId="0" fontId="1" fillId="0" borderId="1" xfId="0" applyFont="1" applyBorder="1" applyAlignment="1" applyProtection="1">
      <alignment horizontal="left"/>
    </xf>
    <xf numFmtId="0" fontId="81" fillId="0" borderId="7" xfId="3" applyFont="1" applyBorder="1" applyAlignment="1" applyProtection="1">
      <alignment horizontal="center" vertical="center" wrapText="1"/>
      <protection locked="0"/>
    </xf>
    <xf numFmtId="0" fontId="81" fillId="0" borderId="20" xfId="3" applyFont="1" applyBorder="1" applyAlignment="1" applyProtection="1">
      <alignment horizontal="center" vertical="center" wrapText="1"/>
      <protection locked="0"/>
    </xf>
    <xf numFmtId="0" fontId="81" fillId="0" borderId="1" xfId="3" applyFont="1" applyBorder="1" applyAlignment="1" applyProtection="1">
      <alignment horizontal="center" vertical="center" wrapText="1"/>
      <protection locked="0"/>
    </xf>
    <xf numFmtId="0" fontId="96" fillId="14" borderId="16" xfId="0" applyFont="1" applyFill="1" applyBorder="1" applyAlignment="1">
      <alignment horizontal="center"/>
    </xf>
    <xf numFmtId="0" fontId="96" fillId="14" borderId="17" xfId="0" applyFont="1" applyFill="1" applyBorder="1" applyAlignment="1">
      <alignment horizontal="center"/>
    </xf>
    <xf numFmtId="0" fontId="96" fillId="14" borderId="17" xfId="0" applyFont="1" applyFill="1" applyBorder="1" applyAlignment="1"/>
    <xf numFmtId="0" fontId="96" fillId="14" borderId="127" xfId="0" applyFont="1" applyFill="1" applyBorder="1" applyAlignment="1"/>
    <xf numFmtId="0" fontId="8" fillId="0" borderId="7"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3" fontId="1" fillId="0" borderId="18" xfId="0" applyNumberFormat="1" applyFont="1" applyFill="1" applyBorder="1" applyAlignment="1" applyProtection="1">
      <alignment horizontal="center"/>
      <protection locked="0"/>
    </xf>
    <xf numFmtId="3" fontId="1" fillId="0" borderId="8" xfId="0" applyNumberFormat="1" applyFont="1" applyFill="1" applyBorder="1" applyAlignment="1" applyProtection="1">
      <alignment horizontal="center"/>
      <protection locked="0"/>
    </xf>
    <xf numFmtId="0" fontId="29" fillId="0" borderId="7" xfId="0" applyFont="1" applyBorder="1" applyAlignment="1" applyProtection="1">
      <alignment vertical="top" wrapText="1"/>
      <protection locked="0"/>
    </xf>
    <xf numFmtId="0" fontId="29" fillId="0" borderId="20" xfId="0" applyFont="1" applyBorder="1" applyAlignment="1" applyProtection="1">
      <alignment vertical="top" wrapText="1"/>
      <protection locked="0"/>
    </xf>
    <xf numFmtId="0" fontId="29" fillId="0" borderId="20" xfId="0" applyFont="1" applyBorder="1" applyAlignment="1" applyProtection="1">
      <alignment wrapText="1"/>
      <protection locked="0"/>
    </xf>
    <xf numFmtId="0" fontId="29" fillId="0" borderId="1" xfId="0" applyFont="1" applyBorder="1" applyAlignment="1" applyProtection="1">
      <alignment wrapText="1"/>
      <protection locked="0"/>
    </xf>
    <xf numFmtId="0" fontId="7" fillId="13" borderId="7" xfId="0" applyFont="1" applyFill="1" applyBorder="1" applyAlignment="1">
      <alignment horizontal="left" vertical="center" wrapText="1"/>
    </xf>
    <xf numFmtId="0" fontId="7" fillId="13" borderId="20"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5" fillId="3" borderId="20" xfId="0" applyFont="1" applyFill="1" applyBorder="1" applyAlignment="1">
      <alignment horizontal="left" vertical="center" wrapText="1"/>
    </xf>
    <xf numFmtId="0" fontId="1" fillId="0" borderId="7"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 xfId="0" applyFont="1" applyFill="1" applyBorder="1" applyAlignment="1">
      <alignment horizontal="left" vertical="top" wrapText="1"/>
    </xf>
    <xf numFmtId="0" fontId="90" fillId="0" borderId="28" xfId="0" applyFont="1" applyBorder="1" applyAlignment="1">
      <alignment horizontal="center" vertical="top" wrapText="1"/>
    </xf>
    <xf numFmtId="0" fontId="90" fillId="0" borderId="164" xfId="0" applyFont="1" applyBorder="1" applyAlignment="1">
      <alignment horizontal="center" vertical="top" wrapText="1"/>
    </xf>
    <xf numFmtId="0" fontId="29" fillId="0" borderId="40"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9" fillId="17" borderId="33" xfId="0" applyFont="1" applyFill="1" applyBorder="1" applyAlignment="1" applyProtection="1">
      <alignment horizontal="center" vertical="center" wrapText="1"/>
      <protection locked="0"/>
    </xf>
    <xf numFmtId="0" fontId="29" fillId="17" borderId="40" xfId="0" applyFont="1" applyFill="1" applyBorder="1" applyAlignment="1" applyProtection="1">
      <alignment horizontal="center" vertical="center" wrapText="1"/>
      <protection locked="0"/>
    </xf>
    <xf numFmtId="0" fontId="29" fillId="17" borderId="24" xfId="0" applyFont="1" applyFill="1" applyBorder="1" applyAlignment="1" applyProtection="1">
      <alignment horizontal="center" vertical="center" wrapText="1"/>
      <protection locked="0"/>
    </xf>
    <xf numFmtId="0" fontId="7" fillId="0" borderId="28" xfId="0" applyFont="1" applyBorder="1" applyAlignment="1">
      <alignment horizontal="center" vertical="center"/>
    </xf>
    <xf numFmtId="0" fontId="8" fillId="0" borderId="28" xfId="0" applyFont="1" applyBorder="1" applyAlignment="1">
      <alignment horizontal="center" vertical="center"/>
    </xf>
    <xf numFmtId="0" fontId="8" fillId="0" borderId="164" xfId="0" applyFont="1" applyBorder="1" applyAlignment="1">
      <alignment horizontal="center" vertical="center"/>
    </xf>
    <xf numFmtId="0" fontId="8" fillId="0" borderId="19" xfId="0" applyFont="1" applyBorder="1" applyAlignment="1">
      <alignment horizontal="center" vertical="center"/>
    </xf>
    <xf numFmtId="0" fontId="19" fillId="0" borderId="51"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5" fillId="3" borderId="34"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72" xfId="0" applyFont="1" applyFill="1" applyBorder="1" applyAlignment="1">
      <alignment horizontal="center" vertical="center"/>
    </xf>
    <xf numFmtId="0" fontId="5" fillId="3" borderId="1" xfId="0" applyFont="1" applyFill="1" applyBorder="1" applyAlignment="1">
      <alignment horizontal="center" vertical="center"/>
    </xf>
    <xf numFmtId="0" fontId="29" fillId="0" borderId="3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4" xfId="0" applyFont="1" applyBorder="1" applyAlignment="1">
      <alignment horizontal="center" vertical="center" wrapText="1"/>
    </xf>
    <xf numFmtId="14" fontId="7" fillId="0" borderId="77" xfId="0" applyNumberFormat="1" applyFont="1" applyFill="1" applyBorder="1" applyAlignment="1">
      <alignment horizontal="right" vertical="center"/>
    </xf>
    <xf numFmtId="14" fontId="7" fillId="0" borderId="20" xfId="0" applyNumberFormat="1" applyFont="1" applyFill="1" applyBorder="1" applyAlignment="1">
      <alignment horizontal="right" vertical="center"/>
    </xf>
    <xf numFmtId="14" fontId="7" fillId="0" borderId="172" xfId="0" applyNumberFormat="1" applyFont="1" applyFill="1" applyBorder="1" applyAlignment="1">
      <alignment horizontal="right" vertical="center"/>
    </xf>
    <xf numFmtId="14" fontId="7" fillId="0" borderId="66" xfId="0" applyNumberFormat="1" applyFont="1" applyFill="1" applyBorder="1" applyAlignment="1">
      <alignment horizontal="right" vertical="center"/>
    </xf>
    <xf numFmtId="0" fontId="29" fillId="0" borderId="39" xfId="0" applyFont="1" applyBorder="1" applyAlignment="1" applyProtection="1">
      <alignment horizontal="center" vertical="center" wrapText="1"/>
      <protection locked="0"/>
    </xf>
    <xf numFmtId="0" fontId="33" fillId="0" borderId="39"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33" fillId="0" borderId="40"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14" fontId="19" fillId="0" borderId="21" xfId="0" quotePrefix="1" applyNumberFormat="1" applyFont="1" applyFill="1" applyBorder="1" applyAlignment="1">
      <alignment horizontal="center" vertical="center"/>
    </xf>
    <xf numFmtId="14" fontId="17" fillId="0" borderId="66" xfId="0" applyNumberFormat="1" applyFont="1" applyFill="1" applyBorder="1" applyAlignment="1">
      <alignment horizontal="center" vertical="center"/>
    </xf>
    <xf numFmtId="0" fontId="37" fillId="0" borderId="7" xfId="0" applyFont="1" applyBorder="1" applyAlignment="1">
      <alignment horizontal="center" vertical="center"/>
    </xf>
    <xf numFmtId="0" fontId="37" fillId="0" borderId="20" xfId="0" applyFont="1" applyBorder="1" applyAlignment="1">
      <alignment horizontal="center" vertical="center"/>
    </xf>
    <xf numFmtId="0" fontId="29" fillId="0" borderId="161" xfId="0" applyFont="1" applyBorder="1" applyAlignment="1" applyProtection="1">
      <alignment horizontal="center" vertical="center" wrapText="1"/>
      <protection locked="0"/>
    </xf>
    <xf numFmtId="0" fontId="113" fillId="48" borderId="39" xfId="0" applyFont="1" applyFill="1" applyBorder="1" applyAlignment="1" applyProtection="1">
      <alignment horizontal="center"/>
    </xf>
    <xf numFmtId="0" fontId="113" fillId="48" borderId="0" xfId="0" applyFont="1" applyFill="1" applyBorder="1" applyAlignment="1" applyProtection="1">
      <alignment horizontal="center"/>
    </xf>
    <xf numFmtId="0" fontId="19" fillId="0" borderId="2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0" fillId="0" borderId="171" xfId="0" applyFont="1" applyFill="1" applyBorder="1" applyAlignment="1">
      <alignment horizontal="left" vertical="center" wrapText="1"/>
    </xf>
    <xf numFmtId="0" fontId="10" fillId="0" borderId="172" xfId="0" applyFont="1" applyFill="1" applyBorder="1" applyAlignment="1">
      <alignment horizontal="left" vertical="center" wrapText="1"/>
    </xf>
    <xf numFmtId="0" fontId="29" fillId="0" borderId="32" xfId="0" applyFont="1" applyBorder="1" applyAlignment="1" applyProtection="1">
      <alignment horizontal="center" vertical="center" wrapText="1"/>
      <protection locked="0"/>
    </xf>
    <xf numFmtId="0" fontId="8" fillId="24" borderId="0" xfId="0" applyFont="1" applyFill="1" applyBorder="1" applyAlignment="1">
      <alignment horizontal="right" vertical="center" wrapText="1"/>
    </xf>
    <xf numFmtId="0" fontId="33" fillId="0" borderId="40"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29" fillId="0" borderId="40" xfId="0" applyFont="1" applyFill="1" applyBorder="1" applyAlignment="1" applyProtection="1">
      <alignment horizontal="center" vertical="center" wrapText="1"/>
      <protection locked="0"/>
    </xf>
    <xf numFmtId="0" fontId="33" fillId="0" borderId="40"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0" fontId="29" fillId="0" borderId="161" xfId="0" applyFont="1" applyFill="1" applyBorder="1" applyAlignment="1" applyProtection="1">
      <alignment horizontal="center" vertical="center" wrapText="1"/>
      <protection locked="0"/>
    </xf>
    <xf numFmtId="49" fontId="33" fillId="0" borderId="40" xfId="0" applyNumberFormat="1" applyFont="1" applyFill="1" applyBorder="1" applyAlignment="1" applyProtection="1">
      <alignment horizontal="center" vertical="center" wrapText="1"/>
      <protection locked="0"/>
    </xf>
    <xf numFmtId="49" fontId="33" fillId="0" borderId="24" xfId="0" applyNumberFormat="1" applyFont="1" applyFill="1" applyBorder="1" applyAlignment="1" applyProtection="1">
      <alignment horizontal="center" vertical="center" wrapText="1"/>
      <protection locked="0"/>
    </xf>
    <xf numFmtId="0" fontId="33" fillId="0" borderId="39" xfId="0" applyFont="1" applyFill="1" applyBorder="1" applyAlignment="1" applyProtection="1">
      <alignment horizontal="center" vertical="center" wrapText="1"/>
      <protection locked="0"/>
    </xf>
    <xf numFmtId="0" fontId="33" fillId="0" borderId="32" xfId="0" applyFont="1" applyFill="1" applyBorder="1" applyAlignment="1" applyProtection="1">
      <alignment horizontal="center" vertical="center" wrapText="1"/>
      <protection locked="0"/>
    </xf>
    <xf numFmtId="0" fontId="1" fillId="0" borderId="6" xfId="0" applyFont="1" applyBorder="1" applyAlignment="1">
      <alignment horizontal="center" wrapText="1"/>
    </xf>
    <xf numFmtId="0" fontId="1" fillId="0" borderId="7"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7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01" xfId="0" applyFont="1" applyFill="1" applyBorder="1" applyAlignment="1">
      <alignment horizontal="left" vertical="center"/>
    </xf>
    <xf numFmtId="0" fontId="19" fillId="0" borderId="51"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1" fillId="0" borderId="40" xfId="0" applyNumberFormat="1" applyFont="1" applyFill="1" applyBorder="1" applyAlignment="1" applyProtection="1">
      <alignment horizontal="center" vertical="center" wrapText="1"/>
      <protection locked="0"/>
    </xf>
    <xf numFmtId="0" fontId="1" fillId="0" borderId="160" xfId="0" applyNumberFormat="1" applyFont="1" applyFill="1" applyBorder="1" applyAlignment="1" applyProtection="1">
      <alignment horizontal="center" vertical="center" wrapText="1"/>
      <protection locked="0"/>
    </xf>
    <xf numFmtId="0" fontId="1" fillId="0" borderId="40" xfId="0" applyFont="1" applyFill="1" applyBorder="1" applyAlignment="1">
      <alignment horizontal="center" vertical="center" wrapText="1"/>
    </xf>
    <xf numFmtId="0" fontId="1" fillId="0" borderId="24" xfId="0" applyFont="1" applyFill="1" applyBorder="1" applyAlignment="1">
      <alignment horizontal="center" vertical="center" wrapText="1"/>
    </xf>
    <xf numFmtId="49" fontId="1" fillId="0" borderId="4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1" fillId="0" borderId="24" xfId="0" applyNumberFormat="1"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2" fontId="1" fillId="0" borderId="40" xfId="0" applyNumberFormat="1" applyFont="1" applyFill="1" applyBorder="1" applyAlignment="1" applyProtection="1">
      <alignment horizontal="center" vertical="center" wrapText="1"/>
      <protection locked="0"/>
    </xf>
    <xf numFmtId="2" fontId="1" fillId="0" borderId="24"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61" fillId="0" borderId="3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 fillId="0" borderId="34"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1" fillId="0" borderId="34"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30" fillId="0" borderId="101" xfId="0" applyFont="1" applyFill="1" applyBorder="1" applyAlignment="1">
      <alignment horizontal="left" vertical="center"/>
    </xf>
    <xf numFmtId="0" fontId="30" fillId="0" borderId="52" xfId="0" applyFont="1" applyFill="1" applyBorder="1" applyAlignment="1">
      <alignment horizontal="left" vertical="center"/>
    </xf>
    <xf numFmtId="14" fontId="3" fillId="0" borderId="52" xfId="0" applyNumberFormat="1" applyFont="1" applyFill="1" applyBorder="1" applyAlignment="1">
      <alignment vertical="center" wrapText="1"/>
    </xf>
    <xf numFmtId="0" fontId="30" fillId="0" borderId="52" xfId="0" applyFont="1" applyFill="1" applyBorder="1" applyAlignment="1">
      <alignment horizontal="left" vertical="center" wrapText="1"/>
    </xf>
    <xf numFmtId="0" fontId="30" fillId="0" borderId="121" xfId="0" applyFont="1" applyFill="1" applyBorder="1" applyAlignment="1">
      <alignment horizontal="left" vertical="center" wrapText="1"/>
    </xf>
    <xf numFmtId="0" fontId="14" fillId="2" borderId="7"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 xfId="0" applyFont="1" applyFill="1" applyBorder="1" applyAlignment="1">
      <alignment horizontal="center" vertical="center"/>
    </xf>
    <xf numFmtId="0" fontId="16" fillId="0" borderId="7" xfId="0" applyFont="1" applyFill="1" applyBorder="1" applyAlignment="1" applyProtection="1">
      <alignment wrapText="1"/>
      <protection locked="0"/>
    </xf>
    <xf numFmtId="0" fontId="16" fillId="0" borderId="20" xfId="0" applyFont="1" applyFill="1" applyBorder="1" applyAlignment="1" applyProtection="1">
      <alignment wrapText="1"/>
      <protection locked="0"/>
    </xf>
    <xf numFmtId="0" fontId="16" fillId="0" borderId="1" xfId="0" applyFont="1" applyFill="1" applyBorder="1" applyAlignment="1" applyProtection="1">
      <alignment wrapText="1"/>
      <protection locked="0"/>
    </xf>
    <xf numFmtId="0" fontId="16" fillId="0" borderId="7" xfId="0" applyFont="1" applyFill="1" applyBorder="1" applyAlignment="1" applyProtection="1">
      <protection locked="0"/>
    </xf>
    <xf numFmtId="0" fontId="16" fillId="0" borderId="20" xfId="0" applyFont="1" applyFill="1" applyBorder="1" applyAlignment="1" applyProtection="1">
      <protection locked="0"/>
    </xf>
    <xf numFmtId="0" fontId="16" fillId="0" borderId="1" xfId="0" applyFont="1" applyFill="1" applyBorder="1" applyAlignment="1" applyProtection="1">
      <protection locked="0"/>
    </xf>
    <xf numFmtId="39" fontId="16" fillId="0" borderId="7" xfId="1" applyNumberFormat="1" applyFont="1" applyFill="1" applyBorder="1" applyAlignment="1" applyProtection="1">
      <alignment horizontal="right" vertical="center"/>
      <protection locked="0"/>
    </xf>
    <xf numFmtId="39" fontId="16" fillId="0" borderId="1" xfId="1" applyNumberFormat="1" applyFont="1" applyFill="1" applyBorder="1" applyAlignment="1" applyProtection="1">
      <alignment horizontal="right" vertical="center"/>
      <protection locked="0"/>
    </xf>
    <xf numFmtId="39" fontId="16" fillId="0" borderId="7" xfId="1" applyNumberFormat="1" applyFont="1" applyFill="1" applyBorder="1" applyAlignment="1" applyProtection="1">
      <alignment vertical="center"/>
      <protection locked="0"/>
    </xf>
    <xf numFmtId="39" fontId="16" fillId="0" borderId="1" xfId="1" applyNumberFormat="1" applyFont="1" applyFill="1" applyBorder="1" applyAlignment="1" applyProtection="1">
      <alignment vertical="center"/>
      <protection locked="0"/>
    </xf>
    <xf numFmtId="43" fontId="16" fillId="0" borderId="7" xfId="1" applyFont="1" applyBorder="1" applyAlignment="1">
      <alignment horizontal="center" vertical="center"/>
    </xf>
    <xf numFmtId="43" fontId="16" fillId="0" borderId="20" xfId="1" applyFont="1" applyBorder="1" applyAlignment="1">
      <alignment horizontal="center" vertical="center"/>
    </xf>
    <xf numFmtId="43" fontId="16" fillId="0" borderId="1" xfId="1" applyFont="1" applyBorder="1" applyAlignment="1">
      <alignment horizontal="center" vertical="center"/>
    </xf>
    <xf numFmtId="39" fontId="16" fillId="0" borderId="7" xfId="0" applyNumberFormat="1" applyFont="1" applyBorder="1" applyAlignment="1">
      <alignment horizontal="right" wrapText="1"/>
    </xf>
    <xf numFmtId="39" fontId="16" fillId="0" borderId="1" xfId="0" applyNumberFormat="1" applyFont="1" applyBorder="1" applyAlignment="1">
      <alignment horizontal="right" wrapText="1"/>
    </xf>
    <xf numFmtId="0" fontId="19" fillId="0" borderId="34" xfId="0" applyFont="1" applyBorder="1" applyAlignment="1">
      <alignment horizontal="center" vertical="center" wrapText="1"/>
    </xf>
    <xf numFmtId="0" fontId="19" fillId="0" borderId="23" xfId="0" applyFont="1" applyBorder="1" applyAlignment="1">
      <alignment horizontal="center" vertical="center" wrapText="1"/>
    </xf>
    <xf numFmtId="0" fontId="20" fillId="0" borderId="6" xfId="0" applyFont="1" applyBorder="1" applyAlignment="1" applyProtection="1">
      <alignment horizontal="center" vertical="top" wrapText="1"/>
      <protection locked="0"/>
    </xf>
    <xf numFmtId="39" fontId="16" fillId="0" borderId="7" xfId="1" applyNumberFormat="1" applyFont="1" applyBorder="1" applyAlignment="1">
      <alignment horizontal="center" vertical="center"/>
    </xf>
    <xf numFmtId="39" fontId="16" fillId="0" borderId="1" xfId="1" applyNumberFormat="1" applyFont="1" applyBorder="1" applyAlignment="1">
      <alignment horizontal="center" vertical="center"/>
    </xf>
    <xf numFmtId="0" fontId="17" fillId="0" borderId="6" xfId="0" applyFont="1" applyBorder="1" applyAlignment="1" applyProtection="1">
      <alignment horizontal="center" vertical="top" wrapText="1"/>
      <protection locked="0"/>
    </xf>
    <xf numFmtId="0" fontId="19" fillId="0" borderId="6" xfId="0" applyFont="1" applyBorder="1" applyAlignment="1">
      <alignment horizontal="center" vertical="center" wrapText="1"/>
    </xf>
    <xf numFmtId="14" fontId="20" fillId="12" borderId="6" xfId="0" applyNumberFormat="1" applyFont="1" applyFill="1" applyBorder="1" applyAlignment="1">
      <alignment horizontal="center" vertical="top" wrapText="1"/>
    </xf>
    <xf numFmtId="0" fontId="20" fillId="12" borderId="6" xfId="0" applyFont="1" applyFill="1" applyBorder="1" applyAlignment="1">
      <alignment horizontal="center" vertical="top" wrapText="1"/>
    </xf>
    <xf numFmtId="0" fontId="19" fillId="12" borderId="7"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34" xfId="0" applyFont="1" applyFill="1" applyBorder="1" applyAlignment="1">
      <alignment horizontal="center" vertical="center" wrapText="1"/>
    </xf>
    <xf numFmtId="0" fontId="19" fillId="12" borderId="23" xfId="0" applyFont="1" applyFill="1" applyBorder="1" applyAlignment="1">
      <alignment horizontal="center" vertical="center" wrapText="1"/>
    </xf>
    <xf numFmtId="0" fontId="16" fillId="0" borderId="6" xfId="0" applyFont="1" applyBorder="1" applyAlignment="1">
      <alignment horizontal="center" vertical="top" wrapText="1"/>
    </xf>
    <xf numFmtId="0" fontId="70" fillId="0" borderId="6" xfId="0" applyFont="1" applyBorder="1" applyAlignment="1">
      <alignment horizontal="center" vertical="center" wrapText="1"/>
    </xf>
    <xf numFmtId="0" fontId="16" fillId="0" borderId="0" xfId="0" applyFont="1" applyAlignment="1">
      <alignment horizontal="left" vertical="center" wrapText="1" indent="2"/>
    </xf>
    <xf numFmtId="0" fontId="17" fillId="0" borderId="0" xfId="0" applyFont="1" applyAlignment="1">
      <alignment horizontal="left" vertical="center" wrapText="1" indent="2"/>
    </xf>
    <xf numFmtId="0" fontId="23" fillId="16" borderId="0" xfId="0" applyFont="1" applyFill="1" applyBorder="1" applyAlignment="1">
      <alignment horizontal="left" vertical="top" wrapText="1" indent="1"/>
    </xf>
    <xf numFmtId="0" fontId="10" fillId="0" borderId="34"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6" fillId="0" borderId="28" xfId="0" applyFont="1" applyBorder="1" applyAlignment="1">
      <alignment horizontal="left" vertical="top" wrapText="1" indent="2"/>
    </xf>
    <xf numFmtId="14" fontId="16" fillId="0" borderId="0" xfId="0" applyNumberFormat="1" applyFont="1" applyAlignment="1">
      <alignment horizontal="left"/>
    </xf>
    <xf numFmtId="14" fontId="16" fillId="0" borderId="0" xfId="0" applyNumberFormat="1" applyFont="1" applyBorder="1" applyAlignment="1">
      <alignment horizontal="left"/>
    </xf>
    <xf numFmtId="0" fontId="17" fillId="0" borderId="0" xfId="0" applyFont="1" applyAlignment="1">
      <alignment horizontal="right"/>
    </xf>
    <xf numFmtId="0" fontId="17" fillId="0" borderId="0" xfId="0" applyFont="1" applyBorder="1" applyAlignment="1">
      <alignment horizontal="right"/>
    </xf>
    <xf numFmtId="0" fontId="19" fillId="0" borderId="0" xfId="0" applyFont="1" applyAlignment="1">
      <alignment horizontal="left"/>
    </xf>
    <xf numFmtId="0" fontId="0" fillId="0" borderId="0" xfId="0" applyAlignment="1"/>
    <xf numFmtId="0" fontId="17" fillId="0" borderId="0" xfId="0" applyFont="1" applyAlignment="1">
      <alignment horizontal="left" wrapText="1" indent="5"/>
    </xf>
    <xf numFmtId="0" fontId="19" fillId="4" borderId="34"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0" fillId="0" borderId="6" xfId="0" applyFont="1" applyBorder="1" applyAlignment="1" applyProtection="1">
      <alignment horizontal="left" vertical="top" wrapText="1"/>
      <protection locked="0"/>
    </xf>
    <xf numFmtId="0" fontId="16" fillId="0" borderId="0" xfId="0" applyFont="1" applyAlignment="1">
      <alignment horizontal="left" wrapText="1" indent="5"/>
    </xf>
    <xf numFmtId="0" fontId="16" fillId="0" borderId="0" xfId="0" applyFont="1" applyAlignment="1">
      <alignment horizontal="left" vertical="center" wrapText="1" indent="3"/>
    </xf>
    <xf numFmtId="0" fontId="16" fillId="0" borderId="0" xfId="0" applyFont="1" applyAlignment="1">
      <alignment horizontal="left" vertical="center" indent="2"/>
    </xf>
    <xf numFmtId="0" fontId="16" fillId="0" borderId="0" xfId="0" applyFont="1" applyAlignment="1">
      <alignment horizontal="left" wrapText="1" indent="2"/>
    </xf>
    <xf numFmtId="43" fontId="16" fillId="0" borderId="7" xfId="0" applyNumberFormat="1" applyFont="1" applyBorder="1" applyAlignment="1">
      <alignment horizontal="center" wrapText="1"/>
    </xf>
    <xf numFmtId="43" fontId="16" fillId="0" borderId="1" xfId="0" applyNumberFormat="1" applyFont="1" applyBorder="1" applyAlignment="1">
      <alignment horizontal="center" wrapText="1"/>
    </xf>
    <xf numFmtId="0" fontId="55" fillId="0" borderId="0" xfId="0" applyFont="1" applyAlignment="1">
      <alignment horizontal="center" vertical="center" wrapText="1"/>
    </xf>
    <xf numFmtId="0" fontId="1" fillId="0" borderId="0" xfId="0" applyFont="1" applyAlignment="1">
      <alignment horizontal="left" vertical="center" wrapText="1"/>
    </xf>
    <xf numFmtId="0" fontId="10" fillId="0" borderId="51" xfId="0" applyFont="1"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6" fillId="21" borderId="76" xfId="0" applyFont="1" applyFill="1" applyBorder="1" applyAlignment="1">
      <alignment horizontal="center" vertical="center"/>
    </xf>
    <xf numFmtId="0" fontId="19" fillId="0" borderId="0" xfId="0" applyFont="1" applyFill="1" applyBorder="1" applyAlignment="1">
      <alignment horizontal="left"/>
    </xf>
    <xf numFmtId="0" fontId="1" fillId="28" borderId="0" xfId="0" applyFont="1" applyFill="1" applyAlignment="1">
      <alignment horizontal="center" vertical="top" wrapText="1"/>
    </xf>
    <xf numFmtId="0" fontId="19" fillId="26" borderId="51" xfId="0" applyFont="1" applyFill="1" applyBorder="1" applyAlignment="1">
      <alignment horizontal="left"/>
    </xf>
    <xf numFmtId="0" fontId="19" fillId="26" borderId="52" xfId="0" applyFont="1" applyFill="1" applyBorder="1" applyAlignment="1">
      <alignment horizontal="left"/>
    </xf>
    <xf numFmtId="0" fontId="22" fillId="26" borderId="52" xfId="0" applyFont="1" applyFill="1" applyBorder="1" applyAlignment="1">
      <alignment horizontal="center"/>
    </xf>
    <xf numFmtId="0" fontId="22" fillId="26" borderId="53" xfId="0" applyFont="1" applyFill="1" applyBorder="1" applyAlignment="1">
      <alignment horizontal="center"/>
    </xf>
    <xf numFmtId="0" fontId="6" fillId="21" borderId="52" xfId="0" applyFont="1" applyFill="1" applyBorder="1" applyAlignment="1">
      <alignment horizontal="center" vertical="center"/>
    </xf>
    <xf numFmtId="0" fontId="103" fillId="0" borderId="0" xfId="0" applyFont="1" applyFill="1" applyAlignment="1">
      <alignment horizontal="center" vertical="center" wrapText="1"/>
    </xf>
    <xf numFmtId="0" fontId="1" fillId="0" borderId="0" xfId="0" applyFont="1" applyAlignment="1">
      <alignment horizontal="left" wrapText="1"/>
    </xf>
    <xf numFmtId="0" fontId="4" fillId="0" borderId="0" xfId="0" applyFont="1" applyAlignment="1">
      <alignment horizontal="left" wrapText="1"/>
    </xf>
    <xf numFmtId="0" fontId="6" fillId="3" borderId="0" xfId="0" applyFont="1" applyFill="1" applyAlignment="1">
      <alignment horizontal="center" vertical="center" wrapText="1"/>
    </xf>
    <xf numFmtId="0" fontId="6" fillId="22" borderId="28" xfId="0" applyFont="1" applyFill="1" applyBorder="1" applyAlignment="1">
      <alignment horizontal="center" vertical="center"/>
    </xf>
    <xf numFmtId="0" fontId="1" fillId="0" borderId="7" xfId="0" applyFont="1" applyBorder="1" applyAlignment="1">
      <alignment horizontal="right" vertical="center" wrapText="1"/>
    </xf>
    <xf numFmtId="0" fontId="1" fillId="0" borderId="1" xfId="0" applyFont="1" applyBorder="1" applyAlignment="1">
      <alignment horizontal="right" vertical="center" wrapTex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42" fillId="2" borderId="0" xfId="0" applyFont="1" applyFill="1" applyBorder="1" applyAlignment="1">
      <alignment horizontal="left" vertical="center" wrapText="1"/>
    </xf>
    <xf numFmtId="0" fontId="1" fillId="0" borderId="7" xfId="0" applyFont="1" applyFill="1" applyBorder="1" applyAlignment="1">
      <alignment horizontal="right" vertical="center" wrapText="1"/>
    </xf>
    <xf numFmtId="0" fontId="1" fillId="0" borderId="1" xfId="0" applyFont="1" applyFill="1" applyBorder="1" applyAlignment="1">
      <alignment horizontal="right" vertical="center" wrapText="1"/>
    </xf>
  </cellXfs>
  <cellStyles count="5">
    <cellStyle name="Comma" xfId="1" builtinId="3"/>
    <cellStyle name="Currency" xfId="2" builtinId="4"/>
    <cellStyle name="Hyperlink" xfId="3" builtinId="8"/>
    <cellStyle name="Normal" xfId="0" builtinId="0"/>
    <cellStyle name="Normal_HIDE-ProjList" xfId="4"/>
  </cellStyles>
  <dxfs count="52">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ill>
        <patternFill>
          <bgColor rgb="FF92D050"/>
        </patternFill>
      </fill>
    </dxf>
    <dxf>
      <font>
        <color rgb="FF9C0006"/>
      </font>
      <fill>
        <patternFill>
          <bgColor rgb="FFFFC7CE"/>
        </patternFill>
      </fill>
    </dxf>
    <dxf>
      <font>
        <color rgb="FF9C6500"/>
      </font>
      <fill>
        <patternFill>
          <bgColor rgb="FFFFEB9C"/>
        </patternFill>
      </fill>
    </dxf>
    <dxf>
      <font>
        <color theme="7" tint="-0.24994659260841701"/>
      </font>
      <fill>
        <patternFill>
          <bgColor theme="7" tint="0.79998168889431442"/>
        </patternFill>
      </fill>
    </dxf>
    <dxf>
      <font>
        <color rgb="FF9C0006"/>
      </font>
      <fill>
        <patternFill>
          <bgColor rgb="FFFFC7CE"/>
        </patternFill>
      </fill>
    </dxf>
    <dxf>
      <font>
        <color rgb="FF9C6500"/>
      </font>
      <fill>
        <patternFill>
          <bgColor rgb="FFFFEB9C"/>
        </patternFill>
      </fill>
    </dxf>
    <dxf>
      <font>
        <color theme="7" tint="-0.24994659260841701"/>
      </font>
      <fill>
        <patternFill>
          <bgColor theme="7" tint="0.79998168889431442"/>
        </patternFill>
      </fill>
    </dxf>
    <dxf>
      <fill>
        <patternFill>
          <bgColor rgb="FFFF66FF"/>
        </patternFill>
      </fill>
    </dxf>
    <dxf>
      <fill>
        <patternFill>
          <bgColor theme="0" tint="-0.24994659260841701"/>
        </patternFill>
      </fill>
    </dxf>
    <dxf>
      <fill>
        <patternFill>
          <bgColor theme="0" tint="-0.24994659260841701"/>
        </patternFill>
      </fill>
    </dxf>
    <dxf>
      <fill>
        <patternFill>
          <bgColor rgb="FFFF66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rgb="FF000000"/>
        <name val="Calibri"/>
        <scheme val="none"/>
      </font>
      <fill>
        <patternFill patternType="solid">
          <fgColor rgb="FFC0C0C0"/>
          <bgColor rgb="FFC0C0C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2" defaultTableStyle="TableStyleMedium9" defaultPivotStyle="PivotStyleLight16">
    <tableStyle name="Table Style 1" pivot="0" count="0"/>
    <tableStyle name="Table Style 2" pivot="0" count="0"/>
  </tableStyles>
  <colors>
    <mruColors>
      <color rgb="FFFFEBFF"/>
      <color rgb="FFFF66FF"/>
      <color rgb="FF00FF00"/>
      <color rgb="FFFFFF99"/>
      <color rgb="FFEDF769"/>
      <color rgb="FFFF9999"/>
      <color rgb="FF89DFC8"/>
      <color rgb="FFFFB9FF"/>
      <color rgb="FFFFDDFF"/>
      <color rgb="FFF0B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0</xdr:colOff>
      <xdr:row>1</xdr:row>
      <xdr:rowOff>0</xdr:rowOff>
    </xdr:from>
    <xdr:to>
      <xdr:col>26</xdr:col>
      <xdr:colOff>0</xdr:colOff>
      <xdr:row>7</xdr:row>
      <xdr:rowOff>0</xdr:rowOff>
    </xdr:to>
    <xdr:sp macro="" textlink="">
      <xdr:nvSpPr>
        <xdr:cNvPr id="2341" name="AutoShape 1"/>
        <xdr:cNvSpPr>
          <a:spLocks noChangeArrowheads="1"/>
        </xdr:cNvSpPr>
      </xdr:nvSpPr>
      <xdr:spPr bwMode="auto">
        <a:xfrm flipH="1" flipV="1">
          <a:off x="16278225" y="1857375"/>
          <a:ext cx="0" cy="1533525"/>
        </a:xfrm>
        <a:prstGeom prst="rtTriangle">
          <a:avLst/>
        </a:prstGeom>
        <a:solidFill>
          <a:srgbClr val="969696"/>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7</xdr:row>
      <xdr:rowOff>0</xdr:rowOff>
    </xdr:to>
    <xdr:sp macro="" textlink="">
      <xdr:nvSpPr>
        <xdr:cNvPr id="2" name="AutoShape 1"/>
        <xdr:cNvSpPr>
          <a:spLocks noChangeArrowheads="1"/>
        </xdr:cNvSpPr>
      </xdr:nvSpPr>
      <xdr:spPr bwMode="auto">
        <a:xfrm flipH="1" flipV="1">
          <a:off x="22059900" y="655320"/>
          <a:ext cx="0" cy="2240280"/>
        </a:xfrm>
        <a:prstGeom prst="rtTriangle">
          <a:avLst/>
        </a:prstGeom>
        <a:solidFill>
          <a:srgbClr val="969696"/>
        </a:solidFill>
        <a:ln w="9525">
          <a:noFill/>
          <a:miter lim="800000"/>
          <a:headEnd/>
          <a:tailEnd/>
        </a:ln>
      </xdr:spPr>
    </xdr:sp>
    <xdr:clientData/>
  </xdr:twoCellAnchor>
</xdr:wsDr>
</file>

<file path=xl/tables/table1.xml><?xml version="1.0" encoding="utf-8"?>
<table xmlns="http://schemas.openxmlformats.org/spreadsheetml/2006/main" id="1" name="ProjList" displayName="ProjList" ref="B4:M316" totalsRowShown="0" headerRowDxfId="51" dataDxfId="49" headerRowBorderDxfId="50" tableBorderDxfId="48">
  <autoFilter ref="B4:M316"/>
  <sortState ref="B5:M358">
    <sortCondition ref="B4:B358"/>
  </sortState>
  <tableColumns count="12">
    <tableColumn id="1" name="Proj_Project Name" dataDxfId="47"/>
    <tableColumn id="2" name="Proj_Address" dataDxfId="46"/>
    <tableColumn id="3" name="Proj_Street" dataDxfId="45"/>
    <tableColumn id="4" name="Proj_StreetSuffix" dataDxfId="44"/>
    <tableColumn id="5" name="FullAddr" dataDxfId="43"/>
    <tableColumn id="6" name="Proj_Units" dataDxfId="42"/>
    <tableColumn id="7" name="Proj_AffordableUnits" dataDxfId="41"/>
    <tableColumn id="8" name="NumLOSPUnitsForAMR"/>
    <tableColumn id="9" name="RevenueForAMR_2018"/>
    <tableColumn id="10" name="Proj_Key" dataDxfId="40"/>
    <tableColumn id="11" name="AMRdue" dataDxfId="39"/>
    <tableColumn id="12" name="MonitoredRY2018" dataDxfId="38"/>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mohcd.org/sites/default/files/Documents/CURRENT%20OperatingFeesPolicy%202016.pdf" TargetMode="External"/><Relationship Id="rId13" Type="http://schemas.openxmlformats.org/officeDocument/2006/relationships/hyperlink" Target="http://sfmohcd.org/sites/default/files/FileCenter/Documents/5141-MOH_ProgIncomeOverview.pdf" TargetMode="External"/><Relationship Id="rId3" Type="http://schemas.openxmlformats.org/officeDocument/2006/relationships/hyperlink" Target="http://www.sfgov.org/site/moh_index.asp?id=23678" TargetMode="External"/><Relationship Id="rId7" Type="http://schemas.openxmlformats.org/officeDocument/2006/relationships/hyperlink" Target="http://www.sfgov.org/site/moh_index.asp?id=23678" TargetMode="External"/><Relationship Id="rId12" Type="http://schemas.openxmlformats.org/officeDocument/2006/relationships/hyperlink" Target="http://sfmohcd.org/sites/default/files/FileCenter/Documents/5140-INSURANCE%20EXHIBIT%20K_2014-05-21.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sfgov.org/site/uploadedfiles/moh/Reports/_AMR6_23AppGMOHInsurReqsPolicy.doc" TargetMode="External"/><Relationship Id="rId11" Type="http://schemas.openxmlformats.org/officeDocument/2006/relationships/hyperlink" Target="http://sfmohcd.org/sites/default/files/FileCenter/Documents/5141-MOH_ProgIncomeOverview.pdf" TargetMode="External"/><Relationship Id="rId5" Type="http://schemas.openxmlformats.org/officeDocument/2006/relationships/hyperlink" Target="http://www.sfgov.org/site/uploadedfiles/moh/Reports/_AMR6_18AppBResidualRecPolicy.doc" TargetMode="External"/><Relationship Id="rId15" Type="http://schemas.openxmlformats.org/officeDocument/2006/relationships/printerSettings" Target="../printerSettings/printerSettings3.bin"/><Relationship Id="rId10" Type="http://schemas.openxmlformats.org/officeDocument/2006/relationships/hyperlink" Target="http://sfmohcd.org/documents-reports-and-forms" TargetMode="External"/><Relationship Id="rId4" Type="http://schemas.openxmlformats.org/officeDocument/2006/relationships/hyperlink" Target="http://www.sfgov.org/site/uploadedfiles/moh/Reports/_AMR6_18AppBResidualRecPolicy.doc" TargetMode="External"/><Relationship Id="rId9" Type="http://schemas.openxmlformats.org/officeDocument/2006/relationships/hyperlink" Target="http://sfmohcd.org/sites/default/files/Documents/CURRENTResidualRecPolicy%202016.pdf" TargetMode="External"/><Relationship Id="rId14" Type="http://schemas.openxmlformats.org/officeDocument/2006/relationships/hyperlink" Target="http://sfmohcd.org/file/7206"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3" Type="http://schemas.openxmlformats.org/officeDocument/2006/relationships/hyperlink" Target="mailto:moh.amr@sfgov.org" TargetMode="Externa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f-moh.org/Modules/ShowDocument.aspx?documentid=5141" TargetMode="Externa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3.bin"/><Relationship Id="rId4" Type="http://schemas.openxmlformats.org/officeDocument/2006/relationships/hyperlink" Target="http://www.sf-moh.org/Modules/ShowDocument.aspx?documentid=5141"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C259"/>
  <sheetViews>
    <sheetView showGridLines="0" topLeftCell="B2" zoomScale="85" zoomScaleNormal="85" workbookViewId="0">
      <selection activeCell="B5" sqref="B5:R5"/>
    </sheetView>
  </sheetViews>
  <sheetFormatPr defaultColWidth="0" defaultRowHeight="15" zeroHeight="1"/>
  <cols>
    <col min="1" max="1" width="9.109375" style="6" hidden="1" customWidth="1"/>
    <col min="2" max="2" width="14.33203125" style="6" customWidth="1"/>
    <col min="3" max="3" width="4.6640625" style="6" customWidth="1"/>
    <col min="4" max="5" width="9.109375" style="6" customWidth="1"/>
    <col min="6" max="6" width="12.5546875" style="6" customWidth="1"/>
    <col min="7" max="16" width="9.109375" style="6" customWidth="1"/>
    <col min="17" max="17" width="13.109375" style="6" customWidth="1"/>
    <col min="18" max="18" width="17.77734375" style="6" customWidth="1"/>
    <col min="19" max="16383" width="9.109375" style="6" hidden="1"/>
    <col min="16384" max="16384" width="6.5546875" style="6" hidden="1" customWidth="1"/>
  </cols>
  <sheetData>
    <row r="1" spans="1:18" ht="195" hidden="1" customHeight="1">
      <c r="B1" s="1794" t="s">
        <v>574</v>
      </c>
      <c r="C1" s="1794"/>
      <c r="D1" s="1794"/>
      <c r="E1" s="1794"/>
      <c r="F1" s="1794"/>
      <c r="G1" s="1794"/>
      <c r="H1" s="1794"/>
      <c r="I1" s="1794"/>
      <c r="J1" s="1794"/>
      <c r="K1" s="1794"/>
      <c r="L1" s="1794"/>
      <c r="M1" s="1794"/>
      <c r="N1" s="1794"/>
      <c r="O1" s="1794"/>
      <c r="P1" s="1794"/>
      <c r="Q1" s="1794"/>
      <c r="R1" s="1794"/>
    </row>
    <row r="2" spans="1:18" ht="39.75" customHeight="1">
      <c r="B2" s="1796" t="str">
        <f>'Completeness Tracker'!$O$23&amp;" "&amp;'Completeness Tracker'!$O$26&amp;" - "&amp;'Completeness Tracker'!$O$24&amp;'Completeness Tracker'!$O$39</f>
        <v>Annual Monitoring Report - Instructions - Reporting Year 2018 - Mayor's Office of Housing &amp; Community Development</v>
      </c>
      <c r="C2" s="1796"/>
      <c r="D2" s="1796"/>
      <c r="E2" s="1796"/>
      <c r="F2" s="1796"/>
      <c r="G2" s="1796"/>
      <c r="H2" s="1796"/>
      <c r="I2" s="1796"/>
      <c r="J2" s="1796"/>
      <c r="K2" s="1796"/>
      <c r="L2" s="1796"/>
      <c r="M2" s="1796"/>
      <c r="N2" s="1796"/>
      <c r="O2" s="1796"/>
      <c r="P2" s="1796"/>
      <c r="Q2" s="1796"/>
      <c r="R2" s="1796"/>
    </row>
    <row r="3" spans="1:18" ht="63" customHeight="1">
      <c r="B3" s="1798" t="s">
        <v>1410</v>
      </c>
      <c r="C3" s="1798"/>
      <c r="D3" s="1798"/>
      <c r="E3" s="1798"/>
      <c r="F3" s="1798"/>
      <c r="G3" s="1798"/>
      <c r="H3" s="1798"/>
      <c r="I3" s="1798"/>
      <c r="J3" s="1798"/>
      <c r="K3" s="1798"/>
      <c r="L3" s="1798"/>
      <c r="M3" s="1798"/>
      <c r="N3" s="1798"/>
      <c r="O3" s="1798"/>
      <c r="P3" s="1798"/>
      <c r="Q3" s="1798"/>
      <c r="R3" s="1798"/>
    </row>
    <row r="4" spans="1:18" ht="18">
      <c r="B4" s="980"/>
      <c r="C4" s="981"/>
      <c r="D4" s="981"/>
      <c r="E4" s="981"/>
      <c r="F4" s="981"/>
      <c r="G4" s="981"/>
      <c r="H4" s="981"/>
      <c r="I4" s="981"/>
      <c r="J4" s="981"/>
      <c r="K4" s="981"/>
      <c r="L4" s="981"/>
      <c r="M4" s="981"/>
      <c r="N4" s="981"/>
      <c r="O4" s="981"/>
      <c r="P4" s="981"/>
      <c r="Q4" s="981"/>
      <c r="R4" s="982" t="s">
        <v>2653</v>
      </c>
    </row>
    <row r="5" spans="1:18" ht="39.9" customHeight="1">
      <c r="B5" s="1792" t="str">
        <f>'Completeness Tracker'!N28</f>
        <v>1A. Property &amp; Residents</v>
      </c>
      <c r="C5" s="1792"/>
      <c r="D5" s="1792"/>
      <c r="E5" s="1792"/>
      <c r="F5" s="1792"/>
      <c r="G5" s="1792"/>
      <c r="H5" s="1792"/>
      <c r="I5" s="1792"/>
      <c r="J5" s="1792"/>
      <c r="K5" s="1792"/>
      <c r="L5" s="1792"/>
      <c r="M5" s="1792"/>
      <c r="N5" s="1792"/>
      <c r="O5" s="1792"/>
      <c r="P5" s="1792"/>
      <c r="Q5" s="1792"/>
      <c r="R5" s="1792"/>
    </row>
    <row r="6" spans="1:18" s="7" customFormat="1" ht="30" customHeight="1">
      <c r="A6" s="111"/>
      <c r="B6" s="1795" t="s">
        <v>1440</v>
      </c>
      <c r="C6" s="1795"/>
      <c r="D6" s="1795"/>
      <c r="E6" s="1795"/>
      <c r="F6" s="1795"/>
      <c r="G6" s="1795"/>
      <c r="H6" s="1795"/>
      <c r="I6" s="1795"/>
      <c r="J6" s="1795"/>
      <c r="K6" s="1795"/>
      <c r="L6" s="1795"/>
      <c r="M6" s="1795"/>
      <c r="N6" s="1795"/>
      <c r="O6" s="1795"/>
      <c r="P6" s="1795"/>
      <c r="Q6" s="1795"/>
      <c r="R6" s="1795"/>
    </row>
    <row r="7" spans="1:18" ht="39.9" customHeight="1">
      <c r="B7" s="1792" t="str">
        <f>'Completeness Tracker'!N29</f>
        <v>1B. Transitional Programs Only</v>
      </c>
      <c r="C7" s="1792"/>
      <c r="D7" s="1792"/>
      <c r="E7" s="1792"/>
      <c r="F7" s="1792"/>
      <c r="G7" s="1792"/>
      <c r="H7" s="1792"/>
      <c r="I7" s="1792"/>
      <c r="J7" s="1792"/>
      <c r="K7" s="1792"/>
      <c r="L7" s="1792"/>
      <c r="M7" s="1792"/>
      <c r="N7" s="1792"/>
      <c r="O7" s="1792"/>
      <c r="P7" s="1792"/>
      <c r="Q7" s="1792"/>
      <c r="R7" s="1792"/>
    </row>
    <row r="8" spans="1:18" s="7" customFormat="1" ht="46.5" customHeight="1">
      <c r="A8" s="111"/>
      <c r="B8" s="1795" t="s">
        <v>2457</v>
      </c>
      <c r="C8" s="1795"/>
      <c r="D8" s="1795"/>
      <c r="E8" s="1795"/>
      <c r="F8" s="1795"/>
      <c r="G8" s="1795"/>
      <c r="H8" s="1795"/>
      <c r="I8" s="1795"/>
      <c r="J8" s="1795"/>
      <c r="K8" s="1795"/>
      <c r="L8" s="1795"/>
      <c r="M8" s="1795"/>
      <c r="N8" s="1795"/>
      <c r="O8" s="1795"/>
      <c r="P8" s="1795"/>
      <c r="Q8" s="1795"/>
      <c r="R8" s="1795"/>
    </row>
    <row r="9" spans="1:18" ht="39.9" customHeight="1">
      <c r="B9" s="1792" t="str">
        <f>'Completeness Tracker'!N30</f>
        <v>1C. Eviction Data</v>
      </c>
      <c r="C9" s="1792"/>
      <c r="D9" s="1792"/>
      <c r="E9" s="1792"/>
      <c r="F9" s="1792"/>
      <c r="G9" s="1792"/>
      <c r="H9" s="1792"/>
      <c r="I9" s="1792"/>
      <c r="J9" s="1792"/>
      <c r="K9" s="1792"/>
      <c r="L9" s="1792"/>
      <c r="M9" s="1792"/>
      <c r="N9" s="1792"/>
      <c r="O9" s="1792"/>
      <c r="P9" s="1792"/>
      <c r="Q9" s="1792"/>
      <c r="R9" s="1792"/>
    </row>
    <row r="10" spans="1:18" s="7" customFormat="1" ht="41.25" customHeight="1">
      <c r="A10" s="111"/>
      <c r="B10" s="1795" t="s">
        <v>2458</v>
      </c>
      <c r="C10" s="1795"/>
      <c r="D10" s="1795"/>
      <c r="E10" s="1795"/>
      <c r="F10" s="1795"/>
      <c r="G10" s="1795"/>
      <c r="H10" s="1795"/>
      <c r="I10" s="1795"/>
      <c r="J10" s="1795"/>
      <c r="K10" s="1795"/>
      <c r="L10" s="1795"/>
      <c r="M10" s="1795"/>
      <c r="N10" s="1795"/>
      <c r="O10" s="1795"/>
      <c r="P10" s="1795"/>
      <c r="Q10" s="1795"/>
      <c r="R10" s="1795"/>
    </row>
    <row r="11" spans="1:18" ht="39.9" customHeight="1">
      <c r="B11" s="1792" t="str">
        <f>'Completeness Tracker'!N31</f>
        <v>2. Fiscal Activity</v>
      </c>
      <c r="C11" s="1792"/>
      <c r="D11" s="1792"/>
      <c r="E11" s="1792"/>
      <c r="F11" s="1792"/>
      <c r="G11" s="1792"/>
      <c r="H11" s="1792"/>
      <c r="I11" s="1792"/>
      <c r="J11" s="1792"/>
      <c r="K11" s="1792"/>
      <c r="L11" s="1792"/>
      <c r="M11" s="1792"/>
      <c r="N11" s="1792"/>
      <c r="O11" s="1792"/>
      <c r="P11" s="1792"/>
      <c r="Q11" s="1792"/>
      <c r="R11" s="1792"/>
    </row>
    <row r="12" spans="1:18" ht="61.5" customHeight="1">
      <c r="A12" s="112"/>
      <c r="B12" s="1797" t="s">
        <v>1574</v>
      </c>
      <c r="C12" s="1788"/>
      <c r="D12" s="1788"/>
      <c r="E12" s="1788"/>
      <c r="F12" s="1788"/>
      <c r="G12" s="1788"/>
      <c r="H12" s="1788"/>
      <c r="I12" s="1788"/>
      <c r="J12" s="1788"/>
      <c r="K12" s="1788"/>
      <c r="L12" s="1788"/>
      <c r="M12" s="1788"/>
      <c r="N12" s="1788"/>
      <c r="O12" s="1788"/>
      <c r="P12" s="1788"/>
      <c r="Q12" s="1788"/>
      <c r="R12" s="1788"/>
    </row>
    <row r="13" spans="1:18" ht="33" customHeight="1">
      <c r="B13" s="12" t="s">
        <v>112</v>
      </c>
      <c r="C13" s="11"/>
      <c r="D13" s="11"/>
      <c r="E13" s="11"/>
      <c r="F13" s="11"/>
      <c r="G13" s="11"/>
      <c r="H13" s="11"/>
      <c r="I13" s="11"/>
      <c r="J13" s="11"/>
      <c r="K13" s="11"/>
      <c r="L13" s="11"/>
      <c r="M13" s="11"/>
      <c r="N13" s="11"/>
      <c r="O13" s="11"/>
      <c r="P13" s="11"/>
      <c r="Q13" s="11"/>
      <c r="R13" s="11"/>
    </row>
    <row r="14" spans="1:18" ht="98.25" customHeight="1">
      <c r="B14" s="1788" t="s">
        <v>1060</v>
      </c>
      <c r="C14" s="1788"/>
      <c r="D14" s="1788"/>
      <c r="E14" s="1788"/>
      <c r="F14" s="1788"/>
      <c r="G14" s="1788"/>
      <c r="H14" s="1788"/>
      <c r="I14" s="1788"/>
      <c r="J14" s="1788"/>
      <c r="K14" s="1788"/>
      <c r="L14" s="1788"/>
      <c r="M14" s="1788"/>
      <c r="N14" s="1788"/>
      <c r="O14" s="1788"/>
      <c r="P14" s="1788"/>
      <c r="Q14" s="1788"/>
      <c r="R14" s="1788"/>
    </row>
    <row r="15" spans="1:18" ht="31.5" customHeight="1">
      <c r="B15" s="1788" t="s">
        <v>1483</v>
      </c>
      <c r="C15" s="1788"/>
      <c r="D15" s="1788"/>
      <c r="E15" s="1788"/>
      <c r="F15" s="1788"/>
      <c r="G15" s="1788"/>
      <c r="H15" s="1788"/>
      <c r="I15" s="1788"/>
      <c r="J15" s="1788"/>
      <c r="K15" s="1788"/>
      <c r="L15" s="1788"/>
      <c r="M15" s="1788"/>
      <c r="N15" s="1788"/>
      <c r="O15" s="1788"/>
      <c r="P15" s="1788"/>
      <c r="Q15" s="1788"/>
      <c r="R15" s="1788"/>
    </row>
    <row r="16" spans="1:18" ht="47.25" customHeight="1">
      <c r="B16" s="1788" t="s">
        <v>1484</v>
      </c>
      <c r="C16" s="1788"/>
      <c r="D16" s="1788"/>
      <c r="E16" s="1788"/>
      <c r="F16" s="1788"/>
      <c r="G16" s="1788"/>
      <c r="H16" s="1788"/>
      <c r="I16" s="1788"/>
      <c r="J16" s="1788"/>
      <c r="K16" s="1788"/>
      <c r="L16" s="1788"/>
      <c r="M16" s="1788"/>
      <c r="N16" s="1788"/>
      <c r="O16" s="1788"/>
      <c r="P16" s="1788"/>
      <c r="Q16" s="1788"/>
      <c r="R16" s="1788"/>
    </row>
    <row r="17" spans="2:18" ht="46.5" customHeight="1">
      <c r="B17" s="1788" t="s">
        <v>1485</v>
      </c>
      <c r="C17" s="1788"/>
      <c r="D17" s="1788"/>
      <c r="E17" s="1788"/>
      <c r="F17" s="1788"/>
      <c r="G17" s="1788"/>
      <c r="H17" s="1788"/>
      <c r="I17" s="1788"/>
      <c r="J17" s="1788"/>
      <c r="K17" s="1788"/>
      <c r="L17" s="1788"/>
      <c r="M17" s="1788"/>
      <c r="N17" s="1788"/>
      <c r="O17" s="1788"/>
      <c r="P17" s="1788"/>
      <c r="Q17" s="1788"/>
      <c r="R17" s="1788"/>
    </row>
    <row r="18" spans="2:18" ht="17.399999999999999">
      <c r="B18" s="566" t="s">
        <v>475</v>
      </c>
      <c r="C18" s="561"/>
      <c r="D18" s="561"/>
      <c r="E18" s="561"/>
      <c r="F18" s="561"/>
      <c r="G18" s="561"/>
      <c r="H18" s="561"/>
      <c r="I18" s="561"/>
      <c r="J18" s="561"/>
      <c r="K18" s="561"/>
      <c r="L18" s="561"/>
      <c r="M18" s="561"/>
      <c r="N18" s="561"/>
      <c r="O18" s="561"/>
      <c r="P18" s="561"/>
      <c r="Q18" s="561"/>
      <c r="R18" s="561"/>
    </row>
    <row r="19" spans="2:18" ht="30" customHeight="1">
      <c r="B19" s="565" t="s">
        <v>76</v>
      </c>
      <c r="C19" s="561"/>
      <c r="D19" s="561"/>
      <c r="E19" s="561"/>
      <c r="F19" s="561"/>
      <c r="G19" s="561"/>
      <c r="H19" s="561"/>
      <c r="I19" s="561"/>
      <c r="J19" s="561"/>
      <c r="K19" s="561"/>
      <c r="L19" s="561"/>
      <c r="M19" s="561"/>
      <c r="N19" s="561"/>
      <c r="O19" s="561"/>
      <c r="P19" s="561"/>
      <c r="Q19" s="561"/>
      <c r="R19" s="561"/>
    </row>
    <row r="20" spans="2:18" ht="42" customHeight="1">
      <c r="B20" s="1788" t="s">
        <v>1061</v>
      </c>
      <c r="C20" s="1788"/>
      <c r="D20" s="1788"/>
      <c r="E20" s="1788"/>
      <c r="F20" s="1788"/>
      <c r="G20" s="1788"/>
      <c r="H20" s="1788"/>
      <c r="I20" s="1788"/>
      <c r="J20" s="1788"/>
      <c r="K20" s="1788"/>
      <c r="L20" s="1788"/>
      <c r="M20" s="1788"/>
      <c r="N20" s="1788"/>
      <c r="O20" s="1788"/>
      <c r="P20" s="1788"/>
      <c r="Q20" s="1788"/>
      <c r="R20" s="1788"/>
    </row>
    <row r="21" spans="2:18" ht="56.25" customHeight="1">
      <c r="B21" s="1788" t="s">
        <v>461</v>
      </c>
      <c r="C21" s="1788"/>
      <c r="D21" s="1788"/>
      <c r="E21" s="1788"/>
      <c r="F21" s="1788"/>
      <c r="G21" s="1788"/>
      <c r="H21" s="1788"/>
      <c r="I21" s="1788"/>
      <c r="J21" s="1788"/>
      <c r="K21" s="1788"/>
      <c r="L21" s="1788"/>
      <c r="M21" s="1788"/>
      <c r="N21" s="1788"/>
      <c r="O21" s="1788"/>
      <c r="P21" s="1788"/>
      <c r="Q21" s="1788"/>
      <c r="R21" s="1788"/>
    </row>
    <row r="22" spans="2:18" ht="47.25" customHeight="1">
      <c r="B22" s="1788" t="s">
        <v>462</v>
      </c>
      <c r="C22" s="1788"/>
      <c r="D22" s="1788"/>
      <c r="E22" s="1788"/>
      <c r="F22" s="1788"/>
      <c r="G22" s="1788"/>
      <c r="H22" s="1788"/>
      <c r="I22" s="1788"/>
      <c r="J22" s="1788"/>
      <c r="K22" s="1788"/>
      <c r="L22" s="1788"/>
      <c r="M22" s="1788"/>
      <c r="N22" s="1788"/>
      <c r="O22" s="1788"/>
      <c r="P22" s="1788"/>
      <c r="Q22" s="1788"/>
      <c r="R22" s="1788"/>
    </row>
    <row r="23" spans="2:18" ht="17.399999999999999">
      <c r="B23" s="565" t="s">
        <v>460</v>
      </c>
      <c r="C23" s="561"/>
      <c r="D23" s="561"/>
      <c r="E23" s="561"/>
      <c r="F23" s="561"/>
      <c r="G23" s="561"/>
      <c r="H23" s="561"/>
      <c r="I23" s="561"/>
      <c r="J23" s="561"/>
      <c r="K23" s="561"/>
      <c r="L23" s="561"/>
      <c r="M23" s="561"/>
      <c r="N23" s="561"/>
      <c r="O23" s="561"/>
      <c r="P23" s="561"/>
      <c r="Q23" s="561"/>
      <c r="R23" s="561"/>
    </row>
    <row r="24" spans="2:18" ht="39.75" customHeight="1">
      <c r="B24" s="1788" t="s">
        <v>463</v>
      </c>
      <c r="C24" s="1788"/>
      <c r="D24" s="1788"/>
      <c r="E24" s="1788"/>
      <c r="F24" s="1788"/>
      <c r="G24" s="1788"/>
      <c r="H24" s="1788"/>
      <c r="I24" s="1788"/>
      <c r="J24" s="1788"/>
      <c r="K24" s="1788"/>
      <c r="L24" s="1788"/>
      <c r="M24" s="1788"/>
      <c r="N24" s="1788"/>
      <c r="O24" s="1788"/>
      <c r="P24" s="1788"/>
      <c r="Q24" s="1788"/>
      <c r="R24" s="1788"/>
    </row>
    <row r="25" spans="2:18" ht="39" customHeight="1">
      <c r="B25" s="1788" t="s">
        <v>464</v>
      </c>
      <c r="C25" s="1788"/>
      <c r="D25" s="1788"/>
      <c r="E25" s="1788"/>
      <c r="F25" s="1788"/>
      <c r="G25" s="1788"/>
      <c r="H25" s="1788"/>
      <c r="I25" s="1788"/>
      <c r="J25" s="1788"/>
      <c r="K25" s="1788"/>
      <c r="L25" s="1788"/>
      <c r="M25" s="1788"/>
      <c r="N25" s="1788"/>
      <c r="O25" s="1788"/>
      <c r="P25" s="1788"/>
      <c r="Q25" s="1788"/>
      <c r="R25" s="1788"/>
    </row>
    <row r="26" spans="2:18" ht="30" customHeight="1">
      <c r="B26" s="565" t="s">
        <v>77</v>
      </c>
      <c r="C26" s="561"/>
      <c r="D26" s="561"/>
      <c r="E26" s="561"/>
      <c r="F26" s="561"/>
      <c r="G26" s="561"/>
      <c r="H26" s="561"/>
      <c r="I26" s="561"/>
      <c r="J26" s="561"/>
      <c r="K26" s="561"/>
      <c r="L26" s="561"/>
      <c r="M26" s="561"/>
      <c r="N26" s="561"/>
      <c r="O26" s="561"/>
      <c r="P26" s="561"/>
      <c r="Q26" s="561"/>
      <c r="R26" s="561"/>
    </row>
    <row r="27" spans="2:18" ht="25.5" customHeight="1">
      <c r="B27" s="1788" t="s">
        <v>466</v>
      </c>
      <c r="C27" s="1788"/>
      <c r="D27" s="1788"/>
      <c r="E27" s="1788"/>
      <c r="F27" s="1788"/>
      <c r="G27" s="1788"/>
      <c r="H27" s="1788"/>
      <c r="I27" s="1788"/>
      <c r="J27" s="1788"/>
      <c r="K27" s="1788"/>
      <c r="L27" s="1788"/>
      <c r="M27" s="1788"/>
      <c r="N27" s="1788"/>
      <c r="O27" s="1788"/>
      <c r="P27" s="1788"/>
      <c r="Q27" s="1788"/>
      <c r="R27" s="1788"/>
    </row>
    <row r="28" spans="2:18" ht="25.5" customHeight="1">
      <c r="B28" s="1788" t="s">
        <v>467</v>
      </c>
      <c r="C28" s="1788"/>
      <c r="D28" s="1788"/>
      <c r="E28" s="1788"/>
      <c r="F28" s="1788"/>
      <c r="G28" s="1788"/>
      <c r="H28" s="1788"/>
      <c r="I28" s="1788"/>
      <c r="J28" s="1788"/>
      <c r="K28" s="1788"/>
      <c r="L28" s="1788"/>
      <c r="M28" s="1788"/>
      <c r="N28" s="1788"/>
      <c r="O28" s="1788"/>
      <c r="P28" s="1788"/>
      <c r="Q28" s="1788"/>
      <c r="R28" s="1788"/>
    </row>
    <row r="29" spans="2:18" ht="90.75" customHeight="1">
      <c r="B29" s="1788" t="s">
        <v>1486</v>
      </c>
      <c r="C29" s="1788"/>
      <c r="D29" s="1788"/>
      <c r="E29" s="1788"/>
      <c r="F29" s="1788"/>
      <c r="G29" s="1788"/>
      <c r="H29" s="1788"/>
      <c r="I29" s="1788"/>
      <c r="J29" s="1788"/>
      <c r="K29" s="1788"/>
      <c r="L29" s="1788"/>
      <c r="M29" s="1788"/>
      <c r="N29" s="1788"/>
      <c r="O29" s="1788"/>
      <c r="P29" s="1788"/>
      <c r="Q29" s="1788"/>
      <c r="R29" s="1788"/>
    </row>
    <row r="30" spans="2:18" ht="46.5" customHeight="1">
      <c r="B30" s="1788" t="s">
        <v>469</v>
      </c>
      <c r="C30" s="1788"/>
      <c r="D30" s="1788"/>
      <c r="E30" s="1788"/>
      <c r="F30" s="1788"/>
      <c r="G30" s="1788"/>
      <c r="H30" s="1788"/>
      <c r="I30" s="1788"/>
      <c r="J30" s="1788"/>
      <c r="K30" s="1788"/>
      <c r="L30" s="1788"/>
      <c r="M30" s="1788"/>
      <c r="N30" s="1788"/>
      <c r="O30" s="1788"/>
      <c r="P30" s="1788"/>
      <c r="Q30" s="1788"/>
      <c r="R30" s="1788"/>
    </row>
    <row r="31" spans="2:18" ht="44.25" customHeight="1">
      <c r="B31" s="1788" t="s">
        <v>470</v>
      </c>
      <c r="C31" s="1788"/>
      <c r="D31" s="1788"/>
      <c r="E31" s="1788"/>
      <c r="F31" s="1788"/>
      <c r="G31" s="1788"/>
      <c r="H31" s="1788"/>
      <c r="I31" s="1788"/>
      <c r="J31" s="1788"/>
      <c r="K31" s="1788"/>
      <c r="L31" s="1788"/>
      <c r="M31" s="1788"/>
      <c r="N31" s="1788"/>
      <c r="O31" s="1788"/>
      <c r="P31" s="1788"/>
      <c r="Q31" s="1788"/>
      <c r="R31" s="1788"/>
    </row>
    <row r="32" spans="2:18" ht="78.75" customHeight="1">
      <c r="B32" s="1788" t="s">
        <v>468</v>
      </c>
      <c r="C32" s="1788"/>
      <c r="D32" s="1788"/>
      <c r="E32" s="1788"/>
      <c r="F32" s="1788"/>
      <c r="G32" s="1788"/>
      <c r="H32" s="1788"/>
      <c r="I32" s="1788"/>
      <c r="J32" s="1788"/>
      <c r="K32" s="1788"/>
      <c r="L32" s="1788"/>
      <c r="M32" s="1788"/>
      <c r="N32" s="1788"/>
      <c r="O32" s="1788"/>
      <c r="P32" s="1788"/>
      <c r="Q32" s="1788"/>
      <c r="R32" s="1788"/>
    </row>
    <row r="33" spans="2:18" ht="49.5" customHeight="1">
      <c r="B33" s="1788" t="s">
        <v>1062</v>
      </c>
      <c r="C33" s="1788"/>
      <c r="D33" s="1788"/>
      <c r="E33" s="1788"/>
      <c r="F33" s="1788"/>
      <c r="G33" s="1788"/>
      <c r="H33" s="1788"/>
      <c r="I33" s="1788"/>
      <c r="J33" s="1788"/>
      <c r="K33" s="1788"/>
      <c r="L33" s="1788"/>
      <c r="M33" s="1788"/>
      <c r="N33" s="1788"/>
      <c r="O33" s="1788"/>
      <c r="P33" s="1788"/>
      <c r="Q33" s="1788"/>
      <c r="R33" s="1788"/>
    </row>
    <row r="34" spans="2:18" ht="17.399999999999999">
      <c r="B34" s="771" t="s">
        <v>476</v>
      </c>
      <c r="C34" s="561"/>
      <c r="D34" s="561"/>
      <c r="E34" s="561"/>
      <c r="F34" s="561"/>
      <c r="G34" s="561"/>
      <c r="H34" s="561"/>
      <c r="I34" s="561"/>
      <c r="J34" s="561"/>
      <c r="K34" s="561"/>
      <c r="L34" s="561"/>
      <c r="M34" s="561"/>
      <c r="N34" s="561"/>
      <c r="O34" s="561"/>
      <c r="P34" s="561"/>
      <c r="Q34" s="561"/>
      <c r="R34" s="561"/>
    </row>
    <row r="35" spans="2:18" ht="17.399999999999999">
      <c r="B35" s="565" t="s">
        <v>477</v>
      </c>
      <c r="C35" s="561"/>
      <c r="D35" s="561"/>
      <c r="E35" s="561"/>
      <c r="F35" s="561"/>
      <c r="G35" s="561"/>
      <c r="H35" s="561"/>
      <c r="I35" s="561"/>
      <c r="J35" s="561"/>
      <c r="K35" s="561"/>
      <c r="L35" s="561"/>
      <c r="M35" s="561"/>
      <c r="N35" s="561"/>
      <c r="O35" s="561"/>
      <c r="P35" s="561"/>
      <c r="Q35" s="561"/>
      <c r="R35" s="561"/>
    </row>
    <row r="36" spans="2:18" ht="60.75" customHeight="1">
      <c r="B36" s="1788" t="s">
        <v>1063</v>
      </c>
      <c r="C36" s="1788"/>
      <c r="D36" s="1788"/>
      <c r="E36" s="1788"/>
      <c r="F36" s="1788"/>
      <c r="G36" s="1788"/>
      <c r="H36" s="1788"/>
      <c r="I36" s="1788"/>
      <c r="J36" s="1788"/>
      <c r="K36" s="1788"/>
      <c r="L36" s="1788"/>
      <c r="M36" s="1788"/>
      <c r="N36" s="1788"/>
      <c r="O36" s="1788"/>
      <c r="P36" s="1788"/>
      <c r="Q36" s="1788"/>
      <c r="R36" s="1788"/>
    </row>
    <row r="37" spans="2:18" ht="17.399999999999999">
      <c r="B37" s="565" t="s">
        <v>200</v>
      </c>
      <c r="C37" s="561"/>
      <c r="D37" s="561"/>
      <c r="E37" s="561"/>
      <c r="F37" s="561"/>
      <c r="G37" s="561"/>
      <c r="H37" s="561"/>
      <c r="I37" s="561"/>
      <c r="J37" s="561"/>
      <c r="K37" s="561"/>
      <c r="L37" s="561"/>
      <c r="M37" s="561"/>
      <c r="N37" s="561"/>
      <c r="O37" s="561"/>
      <c r="P37" s="561"/>
      <c r="Q37" s="561"/>
      <c r="R37" s="561"/>
    </row>
    <row r="38" spans="2:18" ht="104.25" customHeight="1">
      <c r="B38" s="1788" t="s">
        <v>471</v>
      </c>
      <c r="C38" s="1788"/>
      <c r="D38" s="1788"/>
      <c r="E38" s="1788"/>
      <c r="F38" s="1788"/>
      <c r="G38" s="1788"/>
      <c r="H38" s="1788"/>
      <c r="I38" s="1788"/>
      <c r="J38" s="1788"/>
      <c r="K38" s="1788"/>
      <c r="L38" s="1788"/>
      <c r="M38" s="1788"/>
      <c r="N38" s="1788"/>
      <c r="O38" s="1788"/>
      <c r="P38" s="1788"/>
      <c r="Q38" s="1788"/>
      <c r="R38" s="1788"/>
    </row>
    <row r="39" spans="2:18" ht="60" customHeight="1">
      <c r="B39" s="1788" t="s">
        <v>1064</v>
      </c>
      <c r="C39" s="1788"/>
      <c r="D39" s="1788"/>
      <c r="E39" s="1788"/>
      <c r="F39" s="1788"/>
      <c r="G39" s="1788"/>
      <c r="H39" s="1788"/>
      <c r="I39" s="1788"/>
      <c r="J39" s="1788"/>
      <c r="K39" s="1788"/>
      <c r="L39" s="1788"/>
      <c r="M39" s="1788"/>
      <c r="N39" s="1788"/>
      <c r="O39" s="1788"/>
      <c r="P39" s="1788"/>
      <c r="Q39" s="1788"/>
      <c r="R39" s="1788"/>
    </row>
    <row r="40" spans="2:18" ht="45" customHeight="1">
      <c r="B40" s="1788" t="s">
        <v>472</v>
      </c>
      <c r="C40" s="1788"/>
      <c r="D40" s="1788"/>
      <c r="E40" s="1788"/>
      <c r="F40" s="1788"/>
      <c r="G40" s="1788"/>
      <c r="H40" s="1788"/>
      <c r="I40" s="1788"/>
      <c r="J40" s="1788"/>
      <c r="K40" s="1788"/>
      <c r="L40" s="1788"/>
      <c r="M40" s="1788"/>
      <c r="N40" s="1788"/>
      <c r="O40" s="1788"/>
      <c r="P40" s="1788"/>
      <c r="Q40" s="1788"/>
      <c r="R40" s="1788"/>
    </row>
    <row r="41" spans="2:18" ht="45" customHeight="1">
      <c r="B41" s="1788" t="s">
        <v>473</v>
      </c>
      <c r="C41" s="1788"/>
      <c r="D41" s="1788"/>
      <c r="E41" s="1788"/>
      <c r="F41" s="1788"/>
      <c r="G41" s="1788"/>
      <c r="H41" s="1788"/>
      <c r="I41" s="1788"/>
      <c r="J41" s="1788"/>
      <c r="K41" s="1788"/>
      <c r="L41" s="1788"/>
      <c r="M41" s="1788"/>
      <c r="N41" s="1788"/>
      <c r="O41" s="1788"/>
      <c r="P41" s="1788"/>
      <c r="Q41" s="1788"/>
      <c r="R41" s="1788"/>
    </row>
    <row r="42" spans="2:18" ht="46.5" customHeight="1">
      <c r="B42" s="1788" t="s">
        <v>1065</v>
      </c>
      <c r="C42" s="1788"/>
      <c r="D42" s="1788"/>
      <c r="E42" s="1788"/>
      <c r="F42" s="1788"/>
      <c r="G42" s="1788"/>
      <c r="H42" s="1788"/>
      <c r="I42" s="1788"/>
      <c r="J42" s="1788"/>
      <c r="K42" s="1788"/>
      <c r="L42" s="1788"/>
      <c r="M42" s="1788"/>
      <c r="N42" s="1788"/>
      <c r="O42" s="1788"/>
      <c r="P42" s="1788"/>
      <c r="Q42" s="1788"/>
      <c r="R42" s="1788"/>
    </row>
    <row r="43" spans="2:18" ht="17.399999999999999">
      <c r="B43" s="565" t="s">
        <v>204</v>
      </c>
      <c r="C43" s="561"/>
      <c r="D43" s="561"/>
      <c r="E43" s="561"/>
      <c r="F43" s="561"/>
      <c r="G43" s="561"/>
      <c r="H43" s="561"/>
      <c r="I43" s="561"/>
      <c r="J43" s="561"/>
      <c r="K43" s="561"/>
      <c r="L43" s="561"/>
      <c r="M43" s="561"/>
      <c r="N43" s="561"/>
      <c r="O43" s="561"/>
      <c r="P43" s="561"/>
      <c r="Q43" s="561"/>
      <c r="R43" s="561"/>
    </row>
    <row r="44" spans="2:18" ht="33" customHeight="1">
      <c r="B44" s="1788" t="s">
        <v>474</v>
      </c>
      <c r="C44" s="1788"/>
      <c r="D44" s="1788"/>
      <c r="E44" s="1788"/>
      <c r="F44" s="1788"/>
      <c r="G44" s="1788"/>
      <c r="H44" s="1788"/>
      <c r="I44" s="1788"/>
      <c r="J44" s="1788"/>
      <c r="K44" s="1788"/>
      <c r="L44" s="1788"/>
      <c r="M44" s="1788"/>
      <c r="N44" s="1788"/>
      <c r="O44" s="1788"/>
      <c r="P44" s="1788"/>
      <c r="Q44" s="1788"/>
      <c r="R44" s="1788"/>
    </row>
    <row r="45" spans="2:18" ht="45.75" customHeight="1">
      <c r="B45" s="1788" t="s">
        <v>478</v>
      </c>
      <c r="C45" s="1788"/>
      <c r="D45" s="1788"/>
      <c r="E45" s="1788"/>
      <c r="F45" s="1788"/>
      <c r="G45" s="1788"/>
      <c r="H45" s="1788"/>
      <c r="I45" s="1788"/>
      <c r="J45" s="1788"/>
      <c r="K45" s="1788"/>
      <c r="L45" s="1788"/>
      <c r="M45" s="1788"/>
      <c r="N45" s="1788"/>
      <c r="O45" s="1788"/>
      <c r="P45" s="1788"/>
      <c r="Q45" s="1788"/>
      <c r="R45" s="1788"/>
    </row>
    <row r="46" spans="2:18" ht="46.5" customHeight="1">
      <c r="B46" s="1788" t="s">
        <v>479</v>
      </c>
      <c r="C46" s="1788"/>
      <c r="D46" s="1788"/>
      <c r="E46" s="1788"/>
      <c r="F46" s="1788"/>
      <c r="G46" s="1788"/>
      <c r="H46" s="1788"/>
      <c r="I46" s="1788"/>
      <c r="J46" s="1788"/>
      <c r="K46" s="1788"/>
      <c r="L46" s="1788"/>
      <c r="M46" s="1788"/>
      <c r="N46" s="1788"/>
      <c r="O46" s="1788"/>
      <c r="P46" s="1788"/>
      <c r="Q46" s="1788"/>
      <c r="R46" s="1788"/>
    </row>
    <row r="47" spans="2:18" ht="48" customHeight="1">
      <c r="B47" s="1788" t="s">
        <v>480</v>
      </c>
      <c r="C47" s="1788"/>
      <c r="D47" s="1788"/>
      <c r="E47" s="1788"/>
      <c r="F47" s="1788"/>
      <c r="G47" s="1788"/>
      <c r="H47" s="1788"/>
      <c r="I47" s="1788"/>
      <c r="J47" s="1788"/>
      <c r="K47" s="1788"/>
      <c r="L47" s="1788"/>
      <c r="M47" s="1788"/>
      <c r="N47" s="1788"/>
      <c r="O47" s="1788"/>
      <c r="P47" s="1788"/>
      <c r="Q47" s="1788"/>
      <c r="R47" s="1788"/>
    </row>
    <row r="48" spans="2:18" ht="78.75" customHeight="1">
      <c r="B48" s="1788" t="s">
        <v>482</v>
      </c>
      <c r="C48" s="1788"/>
      <c r="D48" s="1788"/>
      <c r="E48" s="1788"/>
      <c r="F48" s="1788"/>
      <c r="G48" s="1788"/>
      <c r="H48" s="1788"/>
      <c r="I48" s="1788"/>
      <c r="J48" s="1788"/>
      <c r="K48" s="1788"/>
      <c r="L48" s="1788"/>
      <c r="M48" s="1788"/>
      <c r="N48" s="1788"/>
      <c r="O48" s="1788"/>
      <c r="P48" s="1788"/>
      <c r="Q48" s="1788"/>
      <c r="R48" s="1788"/>
    </row>
    <row r="49" spans="2:18" ht="48" customHeight="1">
      <c r="B49" s="1788" t="s">
        <v>481</v>
      </c>
      <c r="C49" s="1788"/>
      <c r="D49" s="1788"/>
      <c r="E49" s="1788"/>
      <c r="F49" s="1788"/>
      <c r="G49" s="1788"/>
      <c r="H49" s="1788"/>
      <c r="I49" s="1788"/>
      <c r="J49" s="1788"/>
      <c r="K49" s="1788"/>
      <c r="L49" s="1788"/>
      <c r="M49" s="1788"/>
      <c r="N49" s="1788"/>
      <c r="O49" s="1788"/>
      <c r="P49" s="1788"/>
      <c r="Q49" s="1788"/>
      <c r="R49" s="1788"/>
    </row>
    <row r="50" spans="2:18" ht="53.25" customHeight="1">
      <c r="B50" s="1788" t="s">
        <v>1066</v>
      </c>
      <c r="C50" s="1788"/>
      <c r="D50" s="1788"/>
      <c r="E50" s="1788"/>
      <c r="F50" s="1788"/>
      <c r="G50" s="1788"/>
      <c r="H50" s="1788"/>
      <c r="I50" s="1788"/>
      <c r="J50" s="1788"/>
      <c r="K50" s="1788"/>
      <c r="L50" s="1788"/>
      <c r="M50" s="1788"/>
      <c r="N50" s="1788"/>
      <c r="O50" s="1788"/>
      <c r="P50" s="1788"/>
      <c r="Q50" s="1788"/>
      <c r="R50" s="1788"/>
    </row>
    <row r="51" spans="2:18" ht="61.5" customHeight="1">
      <c r="B51" s="1788" t="s">
        <v>1095</v>
      </c>
      <c r="C51" s="1788"/>
      <c r="D51" s="1788"/>
      <c r="E51" s="1788"/>
      <c r="F51" s="1788"/>
      <c r="G51" s="1788"/>
      <c r="H51" s="1788"/>
      <c r="I51" s="1788"/>
      <c r="J51" s="1788"/>
      <c r="K51" s="1788"/>
      <c r="L51" s="1788"/>
      <c r="M51" s="1788"/>
      <c r="N51" s="1788"/>
      <c r="O51" s="1788"/>
      <c r="P51" s="1788"/>
      <c r="Q51" s="1788"/>
      <c r="R51" s="1788"/>
    </row>
    <row r="52" spans="2:18" ht="30" customHeight="1">
      <c r="B52" s="563" t="s">
        <v>214</v>
      </c>
      <c r="C52" s="561"/>
      <c r="D52" s="561"/>
      <c r="E52" s="561"/>
      <c r="F52" s="561"/>
      <c r="G52" s="561"/>
      <c r="H52" s="561"/>
      <c r="I52" s="561"/>
      <c r="J52" s="561"/>
      <c r="K52" s="561"/>
      <c r="L52" s="561"/>
      <c r="M52" s="561"/>
      <c r="N52" s="561"/>
      <c r="O52" s="561"/>
      <c r="P52" s="561"/>
      <c r="Q52" s="561"/>
      <c r="R52" s="561"/>
    </row>
    <row r="53" spans="2:18" ht="27" customHeight="1">
      <c r="B53" s="1791" t="s">
        <v>1067</v>
      </c>
      <c r="C53" s="1788"/>
      <c r="D53" s="1788"/>
      <c r="E53" s="1788"/>
      <c r="F53" s="1788"/>
      <c r="G53" s="1788"/>
      <c r="H53" s="1788"/>
      <c r="I53" s="1788"/>
      <c r="J53" s="1788"/>
      <c r="K53" s="1788"/>
      <c r="L53" s="1788"/>
      <c r="M53" s="1788"/>
      <c r="N53" s="1788"/>
      <c r="O53" s="1788"/>
      <c r="P53" s="1788"/>
      <c r="Q53" s="1788"/>
      <c r="R53" s="1788"/>
    </row>
    <row r="54" spans="2:18" ht="27" customHeight="1">
      <c r="B54" s="1791" t="s">
        <v>1068</v>
      </c>
      <c r="C54" s="1788"/>
      <c r="D54" s="1788"/>
      <c r="E54" s="1788"/>
      <c r="F54" s="1788"/>
      <c r="G54" s="1788"/>
      <c r="H54" s="1788"/>
      <c r="I54" s="1788"/>
      <c r="J54" s="1788"/>
      <c r="K54" s="1788"/>
      <c r="L54" s="1788"/>
      <c r="M54" s="1788"/>
      <c r="N54" s="1788"/>
      <c r="O54" s="1788"/>
      <c r="P54" s="1788"/>
      <c r="Q54" s="1788"/>
      <c r="R54" s="1788"/>
    </row>
    <row r="55" spans="2:18" ht="27" customHeight="1">
      <c r="B55" s="1791" t="s">
        <v>1069</v>
      </c>
      <c r="C55" s="1788"/>
      <c r="D55" s="1788"/>
      <c r="E55" s="1788"/>
      <c r="F55" s="1788"/>
      <c r="G55" s="1788"/>
      <c r="H55" s="1788"/>
      <c r="I55" s="1788"/>
      <c r="J55" s="1788"/>
      <c r="K55" s="1788"/>
      <c r="L55" s="1788"/>
      <c r="M55" s="1788"/>
      <c r="N55" s="1788"/>
      <c r="O55" s="1788"/>
      <c r="P55" s="1788"/>
      <c r="Q55" s="1788"/>
      <c r="R55" s="1788"/>
    </row>
    <row r="56" spans="2:18" ht="27" customHeight="1">
      <c r="B56" s="1791" t="s">
        <v>1070</v>
      </c>
      <c r="C56" s="1788"/>
      <c r="D56" s="1788"/>
      <c r="E56" s="1788"/>
      <c r="F56" s="1788"/>
      <c r="G56" s="1788"/>
      <c r="H56" s="1788"/>
      <c r="I56" s="1788"/>
      <c r="J56" s="1788"/>
      <c r="K56" s="1788"/>
      <c r="L56" s="1788"/>
      <c r="M56" s="1788"/>
      <c r="N56" s="1788"/>
      <c r="O56" s="1788"/>
      <c r="P56" s="1788"/>
      <c r="Q56" s="1788"/>
      <c r="R56" s="1788"/>
    </row>
    <row r="57" spans="2:18" ht="27" customHeight="1">
      <c r="B57" s="565" t="s">
        <v>483</v>
      </c>
      <c r="C57" s="561"/>
      <c r="D57" s="561"/>
      <c r="E57" s="561"/>
      <c r="F57" s="561"/>
      <c r="G57" s="561"/>
      <c r="H57" s="561"/>
      <c r="I57" s="561"/>
      <c r="J57" s="561"/>
      <c r="K57" s="561"/>
      <c r="L57" s="561"/>
      <c r="M57" s="561"/>
      <c r="N57" s="561"/>
      <c r="O57" s="561"/>
      <c r="P57" s="561"/>
      <c r="Q57" s="561"/>
      <c r="R57" s="561"/>
    </row>
    <row r="58" spans="2:18" ht="33" customHeight="1">
      <c r="B58" s="1788" t="s">
        <v>485</v>
      </c>
      <c r="C58" s="1788"/>
      <c r="D58" s="1788"/>
      <c r="E58" s="1788"/>
      <c r="F58" s="1788"/>
      <c r="G58" s="1788"/>
      <c r="H58" s="1788"/>
      <c r="I58" s="1788"/>
      <c r="J58" s="1788"/>
      <c r="K58" s="1788"/>
      <c r="L58" s="1788"/>
      <c r="M58" s="1788"/>
      <c r="N58" s="1788"/>
      <c r="O58" s="1788"/>
      <c r="P58" s="1788"/>
      <c r="Q58" s="1788"/>
      <c r="R58" s="1788"/>
    </row>
    <row r="59" spans="2:18" ht="36.75" customHeight="1">
      <c r="B59" s="1788" t="s">
        <v>486</v>
      </c>
      <c r="C59" s="1788"/>
      <c r="D59" s="1788"/>
      <c r="E59" s="1788"/>
      <c r="F59" s="1788"/>
      <c r="G59" s="1788"/>
      <c r="H59" s="1788"/>
      <c r="I59" s="1788"/>
      <c r="J59" s="1788"/>
      <c r="K59" s="1788"/>
      <c r="L59" s="1788"/>
      <c r="M59" s="1788"/>
      <c r="N59" s="1788"/>
      <c r="O59" s="1788"/>
      <c r="P59" s="1788"/>
      <c r="Q59" s="1788"/>
      <c r="R59" s="1788"/>
    </row>
    <row r="60" spans="2:18" ht="43.5" customHeight="1">
      <c r="B60" s="1788" t="s">
        <v>487</v>
      </c>
      <c r="C60" s="1788"/>
      <c r="D60" s="1788"/>
      <c r="E60" s="1788"/>
      <c r="F60" s="1788"/>
      <c r="G60" s="1788"/>
      <c r="H60" s="1788"/>
      <c r="I60" s="1788"/>
      <c r="J60" s="1788"/>
      <c r="K60" s="1788"/>
      <c r="L60" s="1788"/>
      <c r="M60" s="1788"/>
      <c r="N60" s="1788"/>
      <c r="O60" s="1788"/>
      <c r="P60" s="1788"/>
      <c r="Q60" s="1788"/>
      <c r="R60" s="1788"/>
    </row>
    <row r="61" spans="2:18" ht="30" customHeight="1">
      <c r="B61" s="565" t="s">
        <v>224</v>
      </c>
      <c r="C61" s="765"/>
      <c r="D61" s="765"/>
      <c r="E61" s="765"/>
      <c r="F61" s="765"/>
      <c r="G61" s="765"/>
      <c r="H61" s="765"/>
      <c r="I61" s="765"/>
      <c r="J61" s="765"/>
      <c r="K61" s="765"/>
      <c r="L61" s="765"/>
      <c r="M61" s="765"/>
      <c r="N61" s="765"/>
      <c r="O61" s="765"/>
      <c r="P61" s="765"/>
      <c r="Q61" s="765"/>
      <c r="R61" s="765"/>
    </row>
    <row r="62" spans="2:18" ht="33" customHeight="1">
      <c r="B62" s="1788" t="s">
        <v>1071</v>
      </c>
      <c r="C62" s="1788"/>
      <c r="D62" s="1788"/>
      <c r="E62" s="1788"/>
      <c r="F62" s="1788"/>
      <c r="G62" s="1788"/>
      <c r="H62" s="1788"/>
      <c r="I62" s="1788"/>
      <c r="J62" s="1788"/>
      <c r="K62" s="1788"/>
      <c r="L62" s="1788"/>
      <c r="M62" s="1788"/>
      <c r="N62" s="1788"/>
      <c r="O62" s="1788"/>
      <c r="P62" s="1788"/>
      <c r="Q62" s="1788"/>
      <c r="R62" s="1788"/>
    </row>
    <row r="63" spans="2:18" ht="31.5" customHeight="1">
      <c r="B63" s="1788" t="s">
        <v>488</v>
      </c>
      <c r="C63" s="1788"/>
      <c r="D63" s="1788"/>
      <c r="E63" s="1788"/>
      <c r="F63" s="1788"/>
      <c r="G63" s="1788"/>
      <c r="H63" s="1788"/>
      <c r="I63" s="1788"/>
      <c r="J63" s="1788"/>
      <c r="K63" s="1788"/>
      <c r="L63" s="1788"/>
      <c r="M63" s="1788"/>
      <c r="N63" s="1788"/>
      <c r="O63" s="1788"/>
      <c r="P63" s="1788"/>
      <c r="Q63" s="1788"/>
      <c r="R63" s="1788"/>
    </row>
    <row r="64" spans="2:18" ht="32.25" customHeight="1">
      <c r="B64" s="1788" t="s">
        <v>489</v>
      </c>
      <c r="C64" s="1788"/>
      <c r="D64" s="1788"/>
      <c r="E64" s="1788"/>
      <c r="F64" s="1788"/>
      <c r="G64" s="1788"/>
      <c r="H64" s="1788"/>
      <c r="I64" s="1788"/>
      <c r="J64" s="1788"/>
      <c r="K64" s="1788"/>
      <c r="L64" s="1788"/>
      <c r="M64" s="1788"/>
      <c r="N64" s="1788"/>
      <c r="O64" s="1788"/>
      <c r="P64" s="1788"/>
      <c r="Q64" s="1788"/>
      <c r="R64" s="1788"/>
    </row>
    <row r="65" spans="2:18" ht="69.75" customHeight="1">
      <c r="B65" s="1788" t="s">
        <v>490</v>
      </c>
      <c r="C65" s="1788"/>
      <c r="D65" s="1788"/>
      <c r="E65" s="1788"/>
      <c r="F65" s="1788"/>
      <c r="G65" s="1788"/>
      <c r="H65" s="1788"/>
      <c r="I65" s="1788"/>
      <c r="J65" s="1788"/>
      <c r="K65" s="1788"/>
      <c r="L65" s="1788"/>
      <c r="M65" s="1788"/>
      <c r="N65" s="1788"/>
      <c r="O65" s="1788"/>
      <c r="P65" s="1788"/>
      <c r="Q65" s="1788"/>
      <c r="R65" s="1788"/>
    </row>
    <row r="66" spans="2:18" ht="17.399999999999999">
      <c r="B66" s="565" t="s">
        <v>484</v>
      </c>
      <c r="C66" s="561"/>
      <c r="D66" s="561"/>
      <c r="E66" s="561"/>
      <c r="F66" s="561"/>
      <c r="G66" s="561"/>
      <c r="H66" s="561"/>
      <c r="I66" s="561"/>
      <c r="J66" s="561"/>
      <c r="K66" s="561"/>
      <c r="L66" s="561"/>
      <c r="M66" s="561"/>
      <c r="N66" s="561"/>
      <c r="O66" s="561"/>
      <c r="P66" s="561"/>
      <c r="Q66" s="561"/>
      <c r="R66" s="561"/>
    </row>
    <row r="67" spans="2:18" ht="74.25" customHeight="1">
      <c r="B67" s="1788" t="s">
        <v>491</v>
      </c>
      <c r="C67" s="1788"/>
      <c r="D67" s="1788"/>
      <c r="E67" s="1788"/>
      <c r="F67" s="1788"/>
      <c r="G67" s="1788"/>
      <c r="H67" s="1788"/>
      <c r="I67" s="1788"/>
      <c r="J67" s="1788"/>
      <c r="K67" s="1788"/>
      <c r="L67" s="1788"/>
      <c r="M67" s="1788"/>
      <c r="N67" s="1788"/>
      <c r="O67" s="1788"/>
      <c r="P67" s="1788"/>
      <c r="Q67" s="1788"/>
      <c r="R67" s="1788"/>
    </row>
    <row r="68" spans="2:18" ht="50.25" customHeight="1">
      <c r="B68" s="1788" t="s">
        <v>492</v>
      </c>
      <c r="C68" s="1788"/>
      <c r="D68" s="1788"/>
      <c r="E68" s="1788"/>
      <c r="F68" s="1788"/>
      <c r="G68" s="1788"/>
      <c r="H68" s="1788"/>
      <c r="I68" s="1788"/>
      <c r="J68" s="1788"/>
      <c r="K68" s="1788"/>
      <c r="L68" s="1788"/>
      <c r="M68" s="1788"/>
      <c r="N68" s="1788"/>
      <c r="O68" s="1788"/>
      <c r="P68" s="1788"/>
      <c r="Q68" s="1788"/>
      <c r="R68" s="1788"/>
    </row>
    <row r="69" spans="2:18" ht="48" customHeight="1">
      <c r="B69" s="1788" t="s">
        <v>493</v>
      </c>
      <c r="C69" s="1788"/>
      <c r="D69" s="1788"/>
      <c r="E69" s="1788"/>
      <c r="F69" s="1788"/>
      <c r="G69" s="1788"/>
      <c r="H69" s="1788"/>
      <c r="I69" s="1788"/>
      <c r="J69" s="1788"/>
      <c r="K69" s="1788"/>
      <c r="L69" s="1788"/>
      <c r="M69" s="1788"/>
      <c r="N69" s="1788"/>
      <c r="O69" s="1788"/>
      <c r="P69" s="1788"/>
      <c r="Q69" s="1788"/>
      <c r="R69" s="1788"/>
    </row>
    <row r="70" spans="2:18" ht="48.75" customHeight="1">
      <c r="B70" s="1788" t="s">
        <v>494</v>
      </c>
      <c r="C70" s="1788"/>
      <c r="D70" s="1788"/>
      <c r="E70" s="1788"/>
      <c r="F70" s="1788"/>
      <c r="G70" s="1788"/>
      <c r="H70" s="1788"/>
      <c r="I70" s="1788"/>
      <c r="J70" s="1788"/>
      <c r="K70" s="1788"/>
      <c r="L70" s="1788"/>
      <c r="M70" s="1788"/>
      <c r="N70" s="1788"/>
      <c r="O70" s="1788"/>
      <c r="P70" s="1788"/>
      <c r="Q70" s="1788"/>
      <c r="R70" s="1788"/>
    </row>
    <row r="71" spans="2:18" ht="51.75" customHeight="1">
      <c r="B71" s="1788" t="s">
        <v>495</v>
      </c>
      <c r="C71" s="1788"/>
      <c r="D71" s="1788"/>
      <c r="E71" s="1788"/>
      <c r="F71" s="1788"/>
      <c r="G71" s="1788"/>
      <c r="H71" s="1788"/>
      <c r="I71" s="1788"/>
      <c r="J71" s="1788"/>
      <c r="K71" s="1788"/>
      <c r="L71" s="1788"/>
      <c r="M71" s="1788"/>
      <c r="N71" s="1788"/>
      <c r="O71" s="1788"/>
      <c r="P71" s="1788"/>
      <c r="Q71" s="1788"/>
      <c r="R71" s="1788"/>
    </row>
    <row r="72" spans="2:18" ht="54" customHeight="1">
      <c r="B72" s="1788" t="s">
        <v>1072</v>
      </c>
      <c r="C72" s="1788"/>
      <c r="D72" s="1788"/>
      <c r="E72" s="1788"/>
      <c r="F72" s="1788"/>
      <c r="G72" s="1788"/>
      <c r="H72" s="1788"/>
      <c r="I72" s="1788"/>
      <c r="J72" s="1788"/>
      <c r="K72" s="1788"/>
      <c r="L72" s="1788"/>
      <c r="M72" s="1788"/>
      <c r="N72" s="1788"/>
      <c r="O72" s="1788"/>
      <c r="P72" s="1788"/>
      <c r="Q72" s="1788"/>
      <c r="R72" s="1788"/>
    </row>
    <row r="73" spans="2:18" ht="51.75" customHeight="1">
      <c r="B73" s="1788" t="s">
        <v>496</v>
      </c>
      <c r="C73" s="1788"/>
      <c r="D73" s="1788"/>
      <c r="E73" s="1788"/>
      <c r="F73" s="1788"/>
      <c r="G73" s="1788"/>
      <c r="H73" s="1788"/>
      <c r="I73" s="1788"/>
      <c r="J73" s="1788"/>
      <c r="K73" s="1788"/>
      <c r="L73" s="1788"/>
      <c r="M73" s="1788"/>
      <c r="N73" s="1788"/>
      <c r="O73" s="1788"/>
      <c r="P73" s="1788"/>
      <c r="Q73" s="1788"/>
      <c r="R73" s="1788"/>
    </row>
    <row r="74" spans="2:18" ht="61.5" customHeight="1">
      <c r="B74" s="1788" t="s">
        <v>1096</v>
      </c>
      <c r="C74" s="1788"/>
      <c r="D74" s="1788"/>
      <c r="E74" s="1788"/>
      <c r="F74" s="1788"/>
      <c r="G74" s="1788"/>
      <c r="H74" s="1788"/>
      <c r="I74" s="1788"/>
      <c r="J74" s="1788"/>
      <c r="K74" s="1788"/>
      <c r="L74" s="1788"/>
      <c r="M74" s="1788"/>
      <c r="N74" s="1788"/>
      <c r="O74" s="1788"/>
      <c r="P74" s="1788"/>
      <c r="Q74" s="1788"/>
      <c r="R74" s="1788"/>
    </row>
    <row r="75" spans="2:18" ht="30" customHeight="1">
      <c r="B75" s="565" t="s">
        <v>497</v>
      </c>
      <c r="C75" s="561"/>
      <c r="D75" s="561"/>
      <c r="E75" s="561"/>
      <c r="F75" s="561"/>
      <c r="G75" s="561"/>
      <c r="H75" s="561"/>
      <c r="I75" s="561"/>
      <c r="J75" s="561"/>
      <c r="K75" s="561"/>
      <c r="L75" s="561"/>
      <c r="M75" s="561"/>
      <c r="N75" s="561"/>
      <c r="O75" s="561"/>
      <c r="P75" s="561"/>
      <c r="Q75" s="561"/>
      <c r="R75" s="561"/>
    </row>
    <row r="76" spans="2:18" ht="70.5" customHeight="1">
      <c r="B76" s="1788" t="s">
        <v>498</v>
      </c>
      <c r="C76" s="1788"/>
      <c r="D76" s="1788"/>
      <c r="E76" s="1788"/>
      <c r="F76" s="1788"/>
      <c r="G76" s="1788"/>
      <c r="H76" s="1788"/>
      <c r="I76" s="1788"/>
      <c r="J76" s="1788"/>
      <c r="K76" s="1788"/>
      <c r="L76" s="1788"/>
      <c r="M76" s="1788"/>
      <c r="N76" s="1788"/>
      <c r="O76" s="1788"/>
      <c r="P76" s="1788"/>
      <c r="Q76" s="1788"/>
      <c r="R76" s="1788"/>
    </row>
    <row r="77" spans="2:18" ht="30" customHeight="1">
      <c r="B77" s="565" t="s">
        <v>531</v>
      </c>
      <c r="C77" s="564"/>
      <c r="D77" s="564"/>
      <c r="E77" s="564"/>
      <c r="F77" s="564"/>
      <c r="G77" s="564"/>
      <c r="H77" s="564"/>
      <c r="I77" s="564"/>
      <c r="J77" s="564"/>
      <c r="K77" s="564"/>
      <c r="L77" s="564"/>
      <c r="M77" s="564"/>
      <c r="N77" s="564"/>
      <c r="O77" s="564"/>
      <c r="P77" s="564"/>
      <c r="Q77" s="564"/>
      <c r="R77" s="564"/>
    </row>
    <row r="78" spans="2:18" ht="57.75" customHeight="1">
      <c r="B78" s="1788" t="s">
        <v>1488</v>
      </c>
      <c r="C78" s="1788"/>
      <c r="D78" s="1788"/>
      <c r="E78" s="1788"/>
      <c r="F78" s="1788"/>
      <c r="G78" s="1788"/>
      <c r="H78" s="1788"/>
      <c r="I78" s="1788"/>
      <c r="J78" s="1788"/>
      <c r="K78" s="1788"/>
      <c r="L78" s="1788"/>
      <c r="M78" s="1788"/>
      <c r="N78" s="1788"/>
      <c r="O78" s="1788"/>
      <c r="P78" s="1788"/>
      <c r="Q78" s="1788"/>
      <c r="R78" s="1788"/>
    </row>
    <row r="79" spans="2:18" ht="45" customHeight="1">
      <c r="B79" s="1788" t="s">
        <v>1489</v>
      </c>
      <c r="C79" s="1788"/>
      <c r="D79" s="1788"/>
      <c r="E79" s="1788"/>
      <c r="F79" s="1788"/>
      <c r="G79" s="1788"/>
      <c r="H79" s="1788"/>
      <c r="I79" s="1788"/>
      <c r="J79" s="1788"/>
      <c r="K79" s="1788"/>
      <c r="L79" s="1788"/>
      <c r="M79" s="1788"/>
      <c r="N79" s="1788"/>
      <c r="O79" s="1788"/>
      <c r="P79" s="1788"/>
      <c r="Q79" s="1788"/>
      <c r="R79" s="1788"/>
    </row>
    <row r="80" spans="2:18" ht="45" customHeight="1">
      <c r="B80" s="1788" t="s">
        <v>1487</v>
      </c>
      <c r="C80" s="1788"/>
      <c r="D80" s="1788"/>
      <c r="E80" s="1788"/>
      <c r="F80" s="1788"/>
      <c r="G80" s="1788"/>
      <c r="H80" s="1788"/>
      <c r="I80" s="1788"/>
      <c r="J80" s="1788"/>
      <c r="K80" s="1788"/>
      <c r="L80" s="1788"/>
      <c r="M80" s="1788"/>
      <c r="N80" s="1788"/>
      <c r="O80" s="1788"/>
      <c r="P80" s="1788"/>
      <c r="Q80" s="1788"/>
      <c r="R80" s="1788"/>
    </row>
    <row r="81" spans="2:18" ht="63" customHeight="1">
      <c r="B81" s="1788" t="s">
        <v>1490</v>
      </c>
      <c r="C81" s="1788"/>
      <c r="D81" s="1788"/>
      <c r="E81" s="1788"/>
      <c r="F81" s="1788"/>
      <c r="G81" s="1788"/>
      <c r="H81" s="1788"/>
      <c r="I81" s="1788"/>
      <c r="J81" s="1788"/>
      <c r="K81" s="1788"/>
      <c r="L81" s="1788"/>
      <c r="M81" s="1788"/>
      <c r="N81" s="1788"/>
      <c r="O81" s="1788"/>
      <c r="P81" s="1788"/>
      <c r="Q81" s="1788"/>
      <c r="R81" s="1788"/>
    </row>
    <row r="82" spans="2:18" ht="69.75" customHeight="1">
      <c r="B82" s="1788" t="s">
        <v>1491</v>
      </c>
      <c r="C82" s="1788"/>
      <c r="D82" s="1788"/>
      <c r="E82" s="1788"/>
      <c r="F82" s="1788"/>
      <c r="G82" s="1788"/>
      <c r="H82" s="1788"/>
      <c r="I82" s="1788"/>
      <c r="J82" s="1788"/>
      <c r="K82" s="1788"/>
      <c r="L82" s="1788"/>
      <c r="M82" s="1788"/>
      <c r="N82" s="1788"/>
      <c r="O82" s="1788"/>
      <c r="P82" s="1788"/>
      <c r="Q82" s="1788"/>
      <c r="R82" s="1788"/>
    </row>
    <row r="83" spans="2:18" s="7" customFormat="1" ht="39.9" customHeight="1">
      <c r="B83" s="1792" t="str">
        <f>'Completeness Tracker'!N32</f>
        <v>3A. Occupancy &amp; Rent Info</v>
      </c>
      <c r="C83" s="1792"/>
      <c r="D83" s="1792"/>
      <c r="E83" s="1792"/>
      <c r="F83" s="1792"/>
      <c r="G83" s="1792"/>
      <c r="H83" s="1792"/>
      <c r="I83" s="1792"/>
      <c r="J83" s="1792"/>
      <c r="K83" s="1792"/>
      <c r="L83" s="1792"/>
      <c r="M83" s="1792"/>
      <c r="N83" s="1792"/>
      <c r="O83" s="1792"/>
      <c r="P83" s="1792"/>
      <c r="Q83" s="1792"/>
      <c r="R83" s="1792"/>
    </row>
    <row r="84" spans="2:18" s="7" customFormat="1" ht="102" customHeight="1">
      <c r="B84" s="1789" t="s">
        <v>1492</v>
      </c>
      <c r="C84" s="1803"/>
      <c r="D84" s="1803"/>
      <c r="E84" s="1803"/>
      <c r="F84" s="1803"/>
      <c r="G84" s="1803"/>
      <c r="H84" s="1803"/>
      <c r="I84" s="1803"/>
      <c r="J84" s="1803"/>
      <c r="K84" s="1803"/>
      <c r="L84" s="1803"/>
      <c r="M84" s="1803"/>
      <c r="N84" s="1803"/>
      <c r="O84" s="1803"/>
      <c r="P84" s="1803"/>
      <c r="Q84" s="1803"/>
      <c r="R84" s="1803"/>
    </row>
    <row r="85" spans="2:18" s="7" customFormat="1" ht="31.5" customHeight="1">
      <c r="B85" s="9" t="s">
        <v>58</v>
      </c>
      <c r="C85" s="1802" t="s">
        <v>111</v>
      </c>
      <c r="D85" s="1802"/>
      <c r="E85" s="1802"/>
      <c r="F85" s="1802"/>
      <c r="G85" s="8"/>
      <c r="H85" s="8"/>
      <c r="I85" s="8"/>
      <c r="J85" s="8"/>
      <c r="K85" s="8"/>
      <c r="L85" s="8"/>
      <c r="M85" s="8"/>
      <c r="N85" s="8"/>
      <c r="O85" s="8"/>
      <c r="P85" s="8"/>
      <c r="Q85" s="8"/>
      <c r="R85" s="8"/>
    </row>
    <row r="86" spans="2:18" s="7" customFormat="1" ht="17.399999999999999">
      <c r="B86" s="577" t="s">
        <v>499</v>
      </c>
      <c r="C86" s="568" t="s">
        <v>500</v>
      </c>
      <c r="D86" s="562"/>
      <c r="E86" s="562"/>
      <c r="F86" s="562"/>
      <c r="G86" s="562"/>
      <c r="H86" s="562"/>
      <c r="I86" s="562"/>
      <c r="J86" s="562"/>
      <c r="K86" s="562"/>
      <c r="L86" s="562"/>
      <c r="M86" s="562"/>
      <c r="N86" s="562"/>
      <c r="O86" s="562"/>
      <c r="P86" s="562"/>
      <c r="Q86" s="562"/>
      <c r="R86" s="562"/>
    </row>
    <row r="87" spans="2:18" s="7" customFormat="1" ht="56.25" customHeight="1">
      <c r="B87" s="577" t="s">
        <v>501</v>
      </c>
      <c r="C87" s="568" t="s">
        <v>502</v>
      </c>
      <c r="D87" s="562"/>
      <c r="E87" s="562"/>
      <c r="F87" s="562"/>
      <c r="G87" s="562"/>
      <c r="H87" s="562"/>
      <c r="I87" s="562"/>
      <c r="J87" s="562"/>
      <c r="K87" s="562"/>
      <c r="L87" s="562"/>
      <c r="M87" s="562"/>
      <c r="N87" s="562"/>
      <c r="O87" s="562"/>
      <c r="P87" s="562"/>
      <c r="Q87" s="562"/>
      <c r="R87" s="562"/>
    </row>
    <row r="88" spans="2:18" s="7" customFormat="1" ht="24.9" customHeight="1">
      <c r="B88" s="568" t="s">
        <v>541</v>
      </c>
      <c r="C88" s="568" t="s">
        <v>520</v>
      </c>
      <c r="D88" s="567"/>
      <c r="E88" s="576"/>
      <c r="F88" s="576"/>
      <c r="G88" s="576"/>
      <c r="H88" s="576"/>
      <c r="I88" s="576"/>
      <c r="J88" s="576"/>
      <c r="K88" s="576"/>
      <c r="L88" s="576"/>
      <c r="M88" s="576"/>
      <c r="N88" s="576"/>
      <c r="O88" s="576"/>
      <c r="P88" s="576"/>
      <c r="Q88" s="576"/>
      <c r="R88" s="576"/>
    </row>
    <row r="89" spans="2:18" s="7" customFormat="1" ht="24.9" customHeight="1">
      <c r="B89" s="568"/>
      <c r="C89" s="572"/>
      <c r="D89" s="572" t="s">
        <v>524</v>
      </c>
      <c r="E89" s="576"/>
      <c r="F89" s="576"/>
      <c r="G89" s="576"/>
      <c r="H89" s="576"/>
      <c r="I89" s="576"/>
      <c r="J89" s="576"/>
      <c r="K89" s="576"/>
      <c r="L89" s="576"/>
      <c r="M89" s="576"/>
      <c r="N89" s="576"/>
      <c r="O89" s="576"/>
      <c r="P89" s="576"/>
      <c r="Q89" s="576"/>
      <c r="R89" s="576"/>
    </row>
    <row r="90" spans="2:18" s="7" customFormat="1" ht="24.9" customHeight="1">
      <c r="B90" s="572"/>
      <c r="C90" s="572"/>
      <c r="D90" s="572" t="s">
        <v>525</v>
      </c>
      <c r="E90" s="576"/>
      <c r="F90" s="576"/>
      <c r="G90" s="576"/>
      <c r="H90" s="576"/>
      <c r="I90" s="576"/>
      <c r="J90" s="576"/>
      <c r="K90" s="576"/>
      <c r="L90" s="576"/>
      <c r="M90" s="576"/>
      <c r="N90" s="576"/>
      <c r="O90" s="576"/>
      <c r="P90" s="576"/>
      <c r="Q90" s="576"/>
      <c r="R90" s="576"/>
    </row>
    <row r="91" spans="2:18" s="7" customFormat="1" ht="24.9" customHeight="1">
      <c r="B91" s="572" t="s">
        <v>242</v>
      </c>
      <c r="C91" s="572"/>
      <c r="D91" s="572" t="s">
        <v>526</v>
      </c>
      <c r="E91" s="576"/>
      <c r="F91" s="576"/>
      <c r="G91" s="576"/>
      <c r="H91" s="576"/>
      <c r="I91" s="576"/>
      <c r="J91" s="576"/>
      <c r="K91" s="576"/>
      <c r="L91" s="576"/>
      <c r="M91" s="576"/>
      <c r="N91" s="576"/>
      <c r="O91" s="576"/>
      <c r="P91" s="576"/>
      <c r="Q91" s="576"/>
      <c r="R91" s="576"/>
    </row>
    <row r="92" spans="2:18" s="7" customFormat="1" ht="24.9" customHeight="1">
      <c r="B92" s="572" t="s">
        <v>242</v>
      </c>
      <c r="C92" s="572"/>
      <c r="D92" s="572" t="s">
        <v>527</v>
      </c>
      <c r="E92" s="576"/>
      <c r="F92" s="576"/>
      <c r="G92" s="576"/>
      <c r="H92" s="576"/>
      <c r="I92" s="576"/>
      <c r="J92" s="576"/>
      <c r="K92" s="576"/>
      <c r="L92" s="576"/>
      <c r="M92" s="576"/>
      <c r="N92" s="576"/>
      <c r="O92" s="576"/>
      <c r="P92" s="576"/>
      <c r="Q92" s="576"/>
      <c r="R92" s="576"/>
    </row>
    <row r="93" spans="2:18" s="7" customFormat="1" ht="24.9" customHeight="1">
      <c r="B93" s="572" t="s">
        <v>242</v>
      </c>
      <c r="C93" s="572"/>
      <c r="D93" s="572" t="s">
        <v>528</v>
      </c>
      <c r="E93" s="576"/>
      <c r="F93" s="576"/>
      <c r="G93" s="576"/>
      <c r="H93" s="576"/>
      <c r="I93" s="576"/>
      <c r="J93" s="576"/>
      <c r="K93" s="576"/>
      <c r="L93" s="576"/>
      <c r="M93" s="576"/>
      <c r="N93" s="576"/>
      <c r="O93" s="576"/>
      <c r="P93" s="576"/>
      <c r="Q93" s="576"/>
      <c r="R93" s="576"/>
    </row>
    <row r="94" spans="2:18" s="7" customFormat="1" ht="24.9" customHeight="1">
      <c r="B94" s="572" t="s">
        <v>242</v>
      </c>
      <c r="C94" s="572"/>
      <c r="D94" s="572" t="s">
        <v>529</v>
      </c>
      <c r="E94" s="576"/>
      <c r="F94" s="576"/>
      <c r="G94" s="576"/>
      <c r="H94" s="576"/>
      <c r="I94" s="576"/>
      <c r="J94" s="576"/>
      <c r="K94" s="576"/>
      <c r="L94" s="576"/>
      <c r="M94" s="576"/>
      <c r="N94" s="576"/>
      <c r="O94" s="576"/>
      <c r="P94" s="576"/>
      <c r="Q94" s="576"/>
      <c r="R94" s="576"/>
    </row>
    <row r="95" spans="2:18" s="7" customFormat="1" ht="24.9" customHeight="1">
      <c r="B95" s="572"/>
      <c r="C95" s="572"/>
      <c r="D95" s="572" t="s">
        <v>530</v>
      </c>
      <c r="E95" s="576"/>
      <c r="F95" s="576"/>
      <c r="G95" s="576"/>
      <c r="H95" s="576"/>
      <c r="I95" s="576"/>
      <c r="J95" s="576"/>
      <c r="K95" s="576"/>
      <c r="L95" s="576"/>
      <c r="M95" s="576"/>
      <c r="N95" s="576"/>
      <c r="O95" s="576"/>
      <c r="P95" s="576"/>
      <c r="Q95" s="576"/>
      <c r="R95" s="576"/>
    </row>
    <row r="96" spans="2:18" s="7" customFormat="1" ht="24.9" customHeight="1">
      <c r="B96" s="572"/>
      <c r="C96" s="572"/>
      <c r="D96" s="572" t="s">
        <v>1073</v>
      </c>
      <c r="E96" s="576"/>
      <c r="F96" s="576"/>
      <c r="G96" s="576"/>
      <c r="H96" s="576"/>
      <c r="I96" s="576"/>
      <c r="J96" s="576"/>
      <c r="K96" s="576"/>
      <c r="L96" s="576"/>
      <c r="M96" s="576"/>
      <c r="N96" s="576"/>
      <c r="O96" s="576"/>
      <c r="P96" s="576"/>
      <c r="Q96" s="576"/>
      <c r="R96" s="576"/>
    </row>
    <row r="97" spans="2:18" s="7" customFormat="1" ht="49.2" customHeight="1">
      <c r="B97" s="1748" t="s">
        <v>503</v>
      </c>
      <c r="C97" s="1809" t="s">
        <v>2559</v>
      </c>
      <c r="D97" s="1810"/>
      <c r="E97" s="1810"/>
      <c r="F97" s="1810"/>
      <c r="G97" s="1810"/>
      <c r="H97" s="1810"/>
      <c r="I97" s="1810"/>
      <c r="J97" s="1810"/>
      <c r="K97" s="1810"/>
      <c r="L97" s="1810"/>
      <c r="M97" s="1810"/>
      <c r="N97" s="1810"/>
      <c r="O97" s="1810"/>
      <c r="P97" s="1810"/>
      <c r="Q97" s="1810"/>
      <c r="R97" s="1750"/>
    </row>
    <row r="98" spans="2:18" s="7" customFormat="1" ht="25.05" customHeight="1">
      <c r="B98" s="1748"/>
      <c r="C98" s="1760"/>
      <c r="D98" s="1761" t="s">
        <v>2555</v>
      </c>
      <c r="E98" s="1762"/>
      <c r="F98" s="1762"/>
      <c r="G98" s="1762"/>
      <c r="H98" s="1762"/>
      <c r="I98" s="1762"/>
      <c r="J98" s="1762"/>
      <c r="K98" s="1762"/>
      <c r="L98" s="1762"/>
      <c r="M98" s="1762"/>
      <c r="N98" s="1762"/>
      <c r="O98" s="1762"/>
      <c r="P98" s="1762"/>
      <c r="Q98" s="1762"/>
      <c r="R98" s="1750"/>
    </row>
    <row r="99" spans="2:18" s="7" customFormat="1" ht="25.05" customHeight="1">
      <c r="B99" s="1748"/>
      <c r="C99" s="1760"/>
      <c r="D99" s="1761" t="s">
        <v>2556</v>
      </c>
      <c r="E99" s="1762"/>
      <c r="F99" s="1762"/>
      <c r="G99" s="1762"/>
      <c r="H99" s="1762"/>
      <c r="I99" s="1762"/>
      <c r="J99" s="1762"/>
      <c r="K99" s="1762"/>
      <c r="L99" s="1762"/>
      <c r="M99" s="1762"/>
      <c r="N99" s="1762"/>
      <c r="O99" s="1762"/>
      <c r="P99" s="1762"/>
      <c r="Q99" s="1762"/>
      <c r="R99" s="1750"/>
    </row>
    <row r="100" spans="2:18" s="7" customFormat="1" ht="25.05" customHeight="1">
      <c r="B100" s="1748"/>
      <c r="C100" s="1760"/>
      <c r="D100" s="1761" t="s">
        <v>2557</v>
      </c>
      <c r="E100" s="1762"/>
      <c r="F100" s="1762"/>
      <c r="G100" s="1762"/>
      <c r="H100" s="1762"/>
      <c r="I100" s="1762"/>
      <c r="J100" s="1762"/>
      <c r="K100" s="1762"/>
      <c r="L100" s="1762"/>
      <c r="M100" s="1762"/>
      <c r="N100" s="1762"/>
      <c r="O100" s="1762"/>
      <c r="P100" s="1762"/>
      <c r="Q100" s="1762"/>
      <c r="R100" s="1750"/>
    </row>
    <row r="101" spans="2:18" s="7" customFormat="1" ht="25.05" customHeight="1">
      <c r="B101" s="1748"/>
      <c r="C101" s="1760"/>
      <c r="D101" s="1761" t="s">
        <v>2549</v>
      </c>
      <c r="E101" s="1762"/>
      <c r="F101" s="1762"/>
      <c r="G101" s="1762"/>
      <c r="H101" s="1762"/>
      <c r="I101" s="1762"/>
      <c r="J101" s="1762"/>
      <c r="K101" s="1762"/>
      <c r="L101" s="1762"/>
      <c r="M101" s="1762"/>
      <c r="N101" s="1762"/>
      <c r="O101" s="1762"/>
      <c r="P101" s="1762"/>
      <c r="Q101" s="1762"/>
      <c r="R101" s="1750"/>
    </row>
    <row r="102" spans="2:18" s="7" customFormat="1" ht="25.05" customHeight="1">
      <c r="B102" s="1748"/>
      <c r="C102" s="1760"/>
      <c r="D102" s="1761" t="s">
        <v>2558</v>
      </c>
      <c r="E102" s="1762"/>
      <c r="F102" s="1762"/>
      <c r="G102" s="1762"/>
      <c r="H102" s="1762"/>
      <c r="I102" s="1762"/>
      <c r="J102" s="1762"/>
      <c r="K102" s="1762"/>
      <c r="L102" s="1762"/>
      <c r="M102" s="1762"/>
      <c r="N102" s="1762"/>
      <c r="O102" s="1762"/>
      <c r="P102" s="1762"/>
      <c r="Q102" s="1762"/>
      <c r="R102" s="1750"/>
    </row>
    <row r="103" spans="2:18" s="7" customFormat="1" ht="60.75" customHeight="1">
      <c r="B103" s="1749" t="s">
        <v>505</v>
      </c>
      <c r="C103" s="1789" t="s">
        <v>504</v>
      </c>
      <c r="D103" s="1806"/>
      <c r="E103" s="1806"/>
      <c r="F103" s="1806"/>
      <c r="G103" s="1806"/>
      <c r="H103" s="1806"/>
      <c r="I103" s="1806"/>
      <c r="J103" s="1806"/>
      <c r="K103" s="1806"/>
      <c r="L103" s="1806"/>
      <c r="M103" s="1806"/>
      <c r="N103" s="1806"/>
      <c r="O103" s="1806"/>
      <c r="P103" s="1806"/>
      <c r="Q103" s="1806"/>
      <c r="R103" s="569"/>
    </row>
    <row r="104" spans="2:18" s="7" customFormat="1" ht="71.25" customHeight="1">
      <c r="B104" s="1749" t="s">
        <v>506</v>
      </c>
      <c r="C104" s="1789" t="s">
        <v>542</v>
      </c>
      <c r="D104" s="1790"/>
      <c r="E104" s="1790"/>
      <c r="F104" s="1790"/>
      <c r="G104" s="1790"/>
      <c r="H104" s="1790"/>
      <c r="I104" s="1790"/>
      <c r="J104" s="1790"/>
      <c r="K104" s="1790"/>
      <c r="L104" s="1790"/>
      <c r="M104" s="1790"/>
      <c r="N104" s="1790"/>
      <c r="O104" s="1790"/>
      <c r="P104" s="1790"/>
      <c r="Q104" s="1790"/>
      <c r="R104" s="571"/>
    </row>
    <row r="105" spans="2:18" s="7" customFormat="1" ht="87" customHeight="1">
      <c r="B105" s="1749" t="s">
        <v>507</v>
      </c>
      <c r="C105" s="1789" t="s">
        <v>508</v>
      </c>
      <c r="D105" s="1793"/>
      <c r="E105" s="1793"/>
      <c r="F105" s="1793"/>
      <c r="G105" s="1793"/>
      <c r="H105" s="1793"/>
      <c r="I105" s="1793"/>
      <c r="J105" s="1793"/>
      <c r="K105" s="1793"/>
      <c r="L105" s="1793"/>
      <c r="M105" s="1793"/>
      <c r="N105" s="1793"/>
      <c r="O105" s="1793"/>
      <c r="P105" s="1793"/>
      <c r="Q105" s="1793"/>
      <c r="R105" s="569"/>
    </row>
    <row r="106" spans="2:18" s="7" customFormat="1" ht="41.25" customHeight="1">
      <c r="B106" s="1749" t="s">
        <v>509</v>
      </c>
      <c r="C106" s="1789" t="s">
        <v>687</v>
      </c>
      <c r="D106" s="1790"/>
      <c r="E106" s="1790"/>
      <c r="F106" s="1790"/>
      <c r="G106" s="1790"/>
      <c r="H106" s="1790"/>
      <c r="I106" s="1790"/>
      <c r="J106" s="1790"/>
      <c r="K106" s="1790"/>
      <c r="L106" s="1790"/>
      <c r="M106" s="1790"/>
      <c r="N106" s="1790"/>
      <c r="O106" s="1790"/>
      <c r="P106" s="1790"/>
      <c r="Q106" s="1790"/>
      <c r="R106" s="567"/>
    </row>
    <row r="107" spans="2:18" s="7" customFormat="1" ht="56.25" customHeight="1">
      <c r="B107" s="1749" t="s">
        <v>510</v>
      </c>
      <c r="C107" s="1789" t="s">
        <v>688</v>
      </c>
      <c r="D107" s="1790"/>
      <c r="E107" s="1790"/>
      <c r="F107" s="1790"/>
      <c r="G107" s="1790"/>
      <c r="H107" s="1790"/>
      <c r="I107" s="1790"/>
      <c r="J107" s="1790"/>
      <c r="K107" s="1790"/>
      <c r="L107" s="1790"/>
      <c r="M107" s="1790"/>
      <c r="N107" s="1790"/>
      <c r="O107" s="1790"/>
      <c r="P107" s="1790"/>
      <c r="Q107" s="1790"/>
      <c r="R107" s="567"/>
    </row>
    <row r="108" spans="2:18" s="7" customFormat="1" ht="56.25" customHeight="1">
      <c r="B108" s="1749" t="s">
        <v>511</v>
      </c>
      <c r="C108" s="1789" t="s">
        <v>689</v>
      </c>
      <c r="D108" s="1790"/>
      <c r="E108" s="1790"/>
      <c r="F108" s="1790"/>
      <c r="G108" s="1790"/>
      <c r="H108" s="1790"/>
      <c r="I108" s="1790"/>
      <c r="J108" s="1790"/>
      <c r="K108" s="1790"/>
      <c r="L108" s="1790"/>
      <c r="M108" s="1790"/>
      <c r="N108" s="1790"/>
      <c r="O108" s="1790"/>
      <c r="P108" s="1790"/>
      <c r="Q108" s="1790"/>
      <c r="R108" s="567"/>
    </row>
    <row r="109" spans="2:18" s="7" customFormat="1" ht="43.5" customHeight="1">
      <c r="B109" s="1749" t="s">
        <v>543</v>
      </c>
      <c r="C109" s="1789" t="s">
        <v>1074</v>
      </c>
      <c r="D109" s="1790"/>
      <c r="E109" s="1790"/>
      <c r="F109" s="1790"/>
      <c r="G109" s="1790"/>
      <c r="H109" s="1790"/>
      <c r="I109" s="1790"/>
      <c r="J109" s="1790"/>
      <c r="K109" s="1790"/>
      <c r="L109" s="1790"/>
      <c r="M109" s="1790"/>
      <c r="N109" s="1790"/>
      <c r="O109" s="1790"/>
      <c r="P109" s="1790"/>
      <c r="Q109" s="1790"/>
      <c r="R109" s="568"/>
    </row>
    <row r="110" spans="2:18" s="7" customFormat="1" ht="43.5" customHeight="1">
      <c r="B110" s="1749" t="s">
        <v>544</v>
      </c>
      <c r="C110" s="1789" t="s">
        <v>1075</v>
      </c>
      <c r="D110" s="1790"/>
      <c r="E110" s="1790"/>
      <c r="F110" s="1790"/>
      <c r="G110" s="1790"/>
      <c r="H110" s="1790"/>
      <c r="I110" s="1790"/>
      <c r="J110" s="1790"/>
      <c r="K110" s="1790"/>
      <c r="L110" s="1790"/>
      <c r="M110" s="1790"/>
      <c r="N110" s="1790"/>
      <c r="O110" s="1790"/>
      <c r="P110" s="1790"/>
      <c r="Q110" s="1790"/>
      <c r="R110" s="577"/>
    </row>
    <row r="111" spans="2:18" s="7" customFormat="1" ht="43.5" customHeight="1">
      <c r="B111" s="1749" t="s">
        <v>545</v>
      </c>
      <c r="C111" s="1804" t="s">
        <v>1493</v>
      </c>
      <c r="D111" s="1804"/>
      <c r="E111" s="1804"/>
      <c r="F111" s="1804"/>
      <c r="G111" s="1804"/>
      <c r="H111" s="1804"/>
      <c r="I111" s="1804"/>
      <c r="J111" s="1804"/>
      <c r="K111" s="1804"/>
      <c r="L111" s="1804"/>
      <c r="M111" s="1804"/>
      <c r="N111" s="1804"/>
      <c r="O111" s="1804"/>
      <c r="P111" s="1804"/>
      <c r="Q111" s="1804"/>
      <c r="R111" s="577"/>
    </row>
    <row r="112" spans="2:18" s="7" customFormat="1" ht="90.75" customHeight="1">
      <c r="B112" s="1749" t="s">
        <v>546</v>
      </c>
      <c r="C112" s="1804" t="s">
        <v>564</v>
      </c>
      <c r="D112" s="1804"/>
      <c r="E112" s="1804"/>
      <c r="F112" s="1804"/>
      <c r="G112" s="1804"/>
      <c r="H112" s="1804"/>
      <c r="I112" s="1804"/>
      <c r="J112" s="1804"/>
      <c r="K112" s="1804"/>
      <c r="L112" s="1804"/>
      <c r="M112" s="1804"/>
      <c r="N112" s="1804"/>
      <c r="O112" s="1804"/>
      <c r="P112" s="1804"/>
      <c r="Q112" s="1804"/>
      <c r="R112" s="577"/>
    </row>
    <row r="113" spans="2:18" s="7" customFormat="1" ht="75" customHeight="1">
      <c r="B113" s="1751" t="s">
        <v>1494</v>
      </c>
      <c r="C113" s="1804" t="s">
        <v>2610</v>
      </c>
      <c r="D113" s="1804"/>
      <c r="E113" s="1804"/>
      <c r="F113" s="1804"/>
      <c r="G113" s="1804"/>
      <c r="H113" s="1804"/>
      <c r="I113" s="1804"/>
      <c r="J113" s="1804"/>
      <c r="K113" s="1804"/>
      <c r="L113" s="1804"/>
      <c r="M113" s="1804"/>
      <c r="N113" s="1804"/>
      <c r="O113" s="1804"/>
      <c r="P113" s="1804"/>
      <c r="Q113" s="1804"/>
      <c r="R113" s="1751"/>
    </row>
    <row r="114" spans="2:18" s="7" customFormat="1" ht="56.25" customHeight="1">
      <c r="B114" s="568" t="s">
        <v>547</v>
      </c>
      <c r="C114" s="1789" t="s">
        <v>514</v>
      </c>
      <c r="D114" s="1790"/>
      <c r="E114" s="1790"/>
      <c r="F114" s="1790"/>
      <c r="G114" s="1790"/>
      <c r="H114" s="1790"/>
      <c r="I114" s="1790"/>
      <c r="J114" s="1790"/>
      <c r="K114" s="1790"/>
      <c r="L114" s="1790"/>
      <c r="M114" s="1790"/>
      <c r="N114" s="1790"/>
      <c r="O114" s="1790"/>
      <c r="P114" s="1790"/>
      <c r="Q114" s="1790"/>
      <c r="R114" s="567"/>
    </row>
    <row r="115" spans="2:18" s="7" customFormat="1" ht="56.25" customHeight="1">
      <c r="B115" s="1749"/>
      <c r="C115" s="1748"/>
      <c r="D115" s="1804" t="s">
        <v>2563</v>
      </c>
      <c r="E115" s="1804"/>
      <c r="F115" s="1804"/>
      <c r="G115" s="1804"/>
      <c r="H115" s="1804"/>
      <c r="I115" s="1804"/>
      <c r="J115" s="1804"/>
      <c r="K115" s="1804"/>
      <c r="L115" s="1804"/>
      <c r="M115" s="1804"/>
      <c r="N115" s="1804"/>
      <c r="O115" s="1804"/>
      <c r="P115" s="1804"/>
      <c r="Q115" s="1804"/>
      <c r="R115" s="567"/>
    </row>
    <row r="116" spans="2:18" s="7" customFormat="1" ht="56.25" customHeight="1">
      <c r="B116" s="1749"/>
      <c r="C116" s="1748"/>
      <c r="D116" s="1804" t="s">
        <v>2566</v>
      </c>
      <c r="E116" s="1804"/>
      <c r="F116" s="1804"/>
      <c r="G116" s="1804"/>
      <c r="H116" s="1804"/>
      <c r="I116" s="1804"/>
      <c r="J116" s="1804"/>
      <c r="K116" s="1804"/>
      <c r="L116" s="1804"/>
      <c r="M116" s="1804"/>
      <c r="N116" s="1804"/>
      <c r="O116" s="1804"/>
      <c r="P116" s="1804"/>
      <c r="Q116" s="1804"/>
      <c r="R116" s="567"/>
    </row>
    <row r="117" spans="2:18" s="95" customFormat="1" ht="41.25" customHeight="1">
      <c r="B117" s="570"/>
      <c r="C117" s="570"/>
      <c r="D117" s="1804" t="s">
        <v>515</v>
      </c>
      <c r="E117" s="1804"/>
      <c r="F117" s="1804"/>
      <c r="G117" s="1804"/>
      <c r="H117" s="1804"/>
      <c r="I117" s="1804"/>
      <c r="J117" s="1804"/>
      <c r="K117" s="1804"/>
      <c r="L117" s="1804"/>
      <c r="M117" s="1804"/>
      <c r="N117" s="1804"/>
      <c r="O117" s="1804"/>
      <c r="P117" s="1804"/>
      <c r="Q117" s="1804"/>
      <c r="R117" s="570"/>
    </row>
    <row r="118" spans="2:18" s="95" customFormat="1" ht="40.5" customHeight="1">
      <c r="B118" s="570"/>
      <c r="C118" s="570"/>
      <c r="D118" s="1804" t="s">
        <v>516</v>
      </c>
      <c r="E118" s="1790"/>
      <c r="F118" s="1790"/>
      <c r="G118" s="1790"/>
      <c r="H118" s="1790"/>
      <c r="I118" s="1790"/>
      <c r="J118" s="1790"/>
      <c r="K118" s="1790"/>
      <c r="L118" s="1790"/>
      <c r="M118" s="1790"/>
      <c r="N118" s="1790"/>
      <c r="O118" s="1790"/>
      <c r="P118" s="1790"/>
      <c r="Q118" s="1790"/>
      <c r="R118" s="570"/>
    </row>
    <row r="119" spans="2:18" s="95" customFormat="1" ht="40.5" customHeight="1">
      <c r="B119" s="570"/>
      <c r="C119" s="570"/>
      <c r="D119" s="1804" t="s">
        <v>1248</v>
      </c>
      <c r="E119" s="1790"/>
      <c r="F119" s="1790"/>
      <c r="G119" s="1790"/>
      <c r="H119" s="1790"/>
      <c r="I119" s="1790"/>
      <c r="J119" s="1790"/>
      <c r="K119" s="1790"/>
      <c r="L119" s="1790"/>
      <c r="M119" s="1790"/>
      <c r="N119" s="1790"/>
      <c r="O119" s="1790"/>
      <c r="P119" s="1790"/>
      <c r="Q119" s="1790"/>
      <c r="R119" s="570"/>
    </row>
    <row r="120" spans="2:18" s="95" customFormat="1" ht="40.5" customHeight="1">
      <c r="B120" s="570"/>
      <c r="C120" s="570"/>
      <c r="D120" s="1804" t="s">
        <v>1247</v>
      </c>
      <c r="E120" s="1790"/>
      <c r="F120" s="1790"/>
      <c r="G120" s="1790"/>
      <c r="H120" s="1790"/>
      <c r="I120" s="1790"/>
      <c r="J120" s="1790"/>
      <c r="K120" s="1790"/>
      <c r="L120" s="1790"/>
      <c r="M120" s="1790"/>
      <c r="N120" s="1790"/>
      <c r="O120" s="1790"/>
      <c r="P120" s="1790"/>
      <c r="Q120" s="1790"/>
      <c r="R120" s="570"/>
    </row>
    <row r="121" spans="2:18" s="95" customFormat="1" ht="40.5" customHeight="1">
      <c r="B121" s="572"/>
      <c r="C121" s="572"/>
      <c r="D121" s="1804" t="s">
        <v>517</v>
      </c>
      <c r="E121" s="1790"/>
      <c r="F121" s="1790"/>
      <c r="G121" s="1790"/>
      <c r="H121" s="1790"/>
      <c r="I121" s="1790"/>
      <c r="J121" s="1790"/>
      <c r="K121" s="1790"/>
      <c r="L121" s="1790"/>
      <c r="M121" s="1790"/>
      <c r="N121" s="1790"/>
      <c r="O121" s="1790"/>
      <c r="P121" s="1790"/>
      <c r="Q121" s="1790"/>
      <c r="R121" s="572"/>
    </row>
    <row r="122" spans="2:18" s="95" customFormat="1" ht="81" customHeight="1">
      <c r="B122" s="572"/>
      <c r="C122" s="572"/>
      <c r="D122" s="1804" t="s">
        <v>2560</v>
      </c>
      <c r="E122" s="1790"/>
      <c r="F122" s="1790"/>
      <c r="G122" s="1790"/>
      <c r="H122" s="1790"/>
      <c r="I122" s="1790"/>
      <c r="J122" s="1790"/>
      <c r="K122" s="1790"/>
      <c r="L122" s="1790"/>
      <c r="M122" s="1790"/>
      <c r="N122" s="1790"/>
      <c r="O122" s="1790"/>
      <c r="P122" s="1790"/>
      <c r="Q122" s="1790"/>
      <c r="R122" s="572"/>
    </row>
    <row r="123" spans="2:18" s="95" customFormat="1" ht="41.25" customHeight="1">
      <c r="B123" s="572"/>
      <c r="C123" s="572"/>
      <c r="D123" s="1804" t="s">
        <v>518</v>
      </c>
      <c r="E123" s="1790"/>
      <c r="F123" s="1790"/>
      <c r="G123" s="1790"/>
      <c r="H123" s="1790"/>
      <c r="I123" s="1790"/>
      <c r="J123" s="1790"/>
      <c r="K123" s="1790"/>
      <c r="L123" s="1790"/>
      <c r="M123" s="1790"/>
      <c r="N123" s="1790"/>
      <c r="O123" s="1790"/>
      <c r="P123" s="1790"/>
      <c r="Q123" s="1790"/>
      <c r="R123" s="572"/>
    </row>
    <row r="124" spans="2:18" s="95" customFormat="1" ht="30" customHeight="1">
      <c r="B124" s="572"/>
      <c r="C124" s="572"/>
      <c r="D124" s="1804" t="s">
        <v>29</v>
      </c>
      <c r="E124" s="1790"/>
      <c r="F124" s="1790"/>
      <c r="G124" s="1790"/>
      <c r="H124" s="1790"/>
      <c r="I124" s="1790"/>
      <c r="J124" s="1790"/>
      <c r="K124" s="1790"/>
      <c r="L124" s="1790"/>
      <c r="M124" s="1790"/>
      <c r="N124" s="1790"/>
      <c r="O124" s="1790"/>
      <c r="P124" s="1790"/>
      <c r="Q124" s="1790"/>
      <c r="R124" s="572"/>
    </row>
    <row r="125" spans="2:18" s="95" customFormat="1" ht="30" customHeight="1">
      <c r="B125" s="572"/>
      <c r="C125" s="572"/>
      <c r="D125" s="1804" t="s">
        <v>550</v>
      </c>
      <c r="E125" s="1790"/>
      <c r="F125" s="1790"/>
      <c r="G125" s="1790"/>
      <c r="H125" s="1790"/>
      <c r="I125" s="1790"/>
      <c r="J125" s="1790"/>
      <c r="K125" s="1790"/>
      <c r="L125" s="1790"/>
      <c r="M125" s="1790"/>
      <c r="N125" s="1790"/>
      <c r="O125" s="1790"/>
      <c r="P125" s="1790"/>
      <c r="Q125" s="1790"/>
      <c r="R125" s="572"/>
    </row>
    <row r="126" spans="2:18" s="95" customFormat="1" ht="41.25" customHeight="1">
      <c r="B126" s="572"/>
      <c r="C126" s="572"/>
      <c r="D126" s="1804" t="s">
        <v>551</v>
      </c>
      <c r="E126" s="1790"/>
      <c r="F126" s="1790"/>
      <c r="G126" s="1790"/>
      <c r="H126" s="1790"/>
      <c r="I126" s="1790"/>
      <c r="J126" s="1790"/>
      <c r="K126" s="1790"/>
      <c r="L126" s="1790"/>
      <c r="M126" s="1790"/>
      <c r="N126" s="1790"/>
      <c r="O126" s="1790"/>
      <c r="P126" s="1790"/>
      <c r="Q126" s="1790"/>
      <c r="R126" s="572"/>
    </row>
    <row r="127" spans="2:18" s="95" customFormat="1" ht="41.25" customHeight="1">
      <c r="B127" s="572"/>
      <c r="C127" s="572"/>
      <c r="D127" s="1804" t="s">
        <v>2561</v>
      </c>
      <c r="E127" s="1790"/>
      <c r="F127" s="1790"/>
      <c r="G127" s="1790"/>
      <c r="H127" s="1790"/>
      <c r="I127" s="1790"/>
      <c r="J127" s="1790"/>
      <c r="K127" s="1790"/>
      <c r="L127" s="1790"/>
      <c r="M127" s="1790"/>
      <c r="N127" s="1790"/>
      <c r="O127" s="1790"/>
      <c r="P127" s="1790"/>
      <c r="Q127" s="1790"/>
      <c r="R127" s="572"/>
    </row>
    <row r="128" spans="2:18" s="95" customFormat="1" ht="30" customHeight="1">
      <c r="B128" s="570"/>
      <c r="C128" s="570"/>
      <c r="D128" s="1804" t="s">
        <v>28</v>
      </c>
      <c r="E128" s="1790"/>
      <c r="F128" s="1790"/>
      <c r="G128" s="1790"/>
      <c r="H128" s="1790"/>
      <c r="I128" s="1790"/>
      <c r="J128" s="1790"/>
      <c r="K128" s="1790"/>
      <c r="L128" s="1790"/>
      <c r="M128" s="1790"/>
      <c r="N128" s="1790"/>
      <c r="O128" s="1790"/>
      <c r="P128" s="1790"/>
      <c r="Q128" s="1790"/>
      <c r="R128" s="570"/>
    </row>
    <row r="129" spans="2:18" s="95" customFormat="1" ht="30" customHeight="1">
      <c r="B129" s="570"/>
      <c r="C129" s="570"/>
      <c r="D129" s="1804" t="s">
        <v>27</v>
      </c>
      <c r="E129" s="1790"/>
      <c r="F129" s="1790"/>
      <c r="G129" s="1790"/>
      <c r="H129" s="1790"/>
      <c r="I129" s="1790"/>
      <c r="J129" s="1790"/>
      <c r="K129" s="1790"/>
      <c r="L129" s="1790"/>
      <c r="M129" s="1790"/>
      <c r="N129" s="1790"/>
      <c r="O129" s="1790"/>
      <c r="P129" s="1790"/>
      <c r="Q129" s="1790"/>
      <c r="R129" s="570"/>
    </row>
    <row r="130" spans="2:18" s="7" customFormat="1" ht="40.5" customHeight="1">
      <c r="B130" s="570"/>
      <c r="C130" s="570"/>
      <c r="D130" s="1804" t="s">
        <v>519</v>
      </c>
      <c r="E130" s="1790"/>
      <c r="F130" s="1790"/>
      <c r="G130" s="1790"/>
      <c r="H130" s="1790"/>
      <c r="I130" s="1790"/>
      <c r="J130" s="1790"/>
      <c r="K130" s="1790"/>
      <c r="L130" s="1790"/>
      <c r="M130" s="1790"/>
      <c r="N130" s="1790"/>
      <c r="O130" s="1790"/>
      <c r="P130" s="1790"/>
      <c r="Q130" s="1790"/>
      <c r="R130" s="570"/>
    </row>
    <row r="131" spans="2:18" s="95" customFormat="1" ht="32.25" customHeight="1">
      <c r="B131" s="1751" t="s">
        <v>548</v>
      </c>
      <c r="C131" s="568" t="s">
        <v>553</v>
      </c>
      <c r="D131" s="567"/>
      <c r="E131" s="567"/>
      <c r="F131" s="567"/>
      <c r="G131" s="567"/>
      <c r="H131" s="567"/>
      <c r="I131" s="567"/>
      <c r="J131" s="567"/>
      <c r="K131" s="567"/>
      <c r="L131" s="567"/>
      <c r="M131" s="567"/>
      <c r="N131" s="567"/>
      <c r="O131" s="567"/>
      <c r="P131" s="567"/>
      <c r="Q131" s="567"/>
      <c r="R131" s="567"/>
    </row>
    <row r="132" spans="2:18" s="7" customFormat="1" ht="56.25" customHeight="1">
      <c r="B132" s="1751" t="s">
        <v>549</v>
      </c>
      <c r="C132" s="1789" t="s">
        <v>521</v>
      </c>
      <c r="D132" s="1790"/>
      <c r="E132" s="1790"/>
      <c r="F132" s="1790"/>
      <c r="G132" s="1790"/>
      <c r="H132" s="1790"/>
      <c r="I132" s="1790"/>
      <c r="J132" s="1790"/>
      <c r="K132" s="1790"/>
      <c r="L132" s="1790"/>
      <c r="M132" s="1790"/>
      <c r="N132" s="1790"/>
      <c r="O132" s="1790"/>
      <c r="P132" s="1790"/>
      <c r="Q132" s="1790"/>
      <c r="R132" s="562"/>
    </row>
    <row r="133" spans="2:18" s="7" customFormat="1" ht="48" customHeight="1">
      <c r="B133" s="1751" t="s">
        <v>552</v>
      </c>
      <c r="C133" s="1789" t="s">
        <v>522</v>
      </c>
      <c r="D133" s="1790"/>
      <c r="E133" s="1790"/>
      <c r="F133" s="1790"/>
      <c r="G133" s="1790"/>
      <c r="H133" s="1790"/>
      <c r="I133" s="1790"/>
      <c r="J133" s="1790"/>
      <c r="K133" s="1790"/>
      <c r="L133" s="1790"/>
      <c r="M133" s="1790"/>
      <c r="N133" s="1790"/>
      <c r="O133" s="1790"/>
      <c r="P133" s="1790"/>
      <c r="Q133" s="1790"/>
      <c r="R133" s="562"/>
    </row>
    <row r="134" spans="2:18" s="7" customFormat="1" ht="41.25" customHeight="1">
      <c r="B134" s="1751" t="s">
        <v>1495</v>
      </c>
      <c r="C134" s="1789" t="s">
        <v>679</v>
      </c>
      <c r="D134" s="1790"/>
      <c r="E134" s="1790"/>
      <c r="F134" s="1790"/>
      <c r="G134" s="1790"/>
      <c r="H134" s="1790"/>
      <c r="I134" s="1790"/>
      <c r="J134" s="1790"/>
      <c r="K134" s="1790"/>
      <c r="L134" s="1790"/>
      <c r="M134" s="1790"/>
      <c r="N134" s="1790"/>
      <c r="O134" s="1790"/>
      <c r="P134" s="1790"/>
      <c r="Q134" s="1790"/>
      <c r="R134" s="562"/>
    </row>
    <row r="135" spans="2:18" s="7" customFormat="1" ht="78.599999999999994" customHeight="1">
      <c r="B135" s="1751" t="s">
        <v>1496</v>
      </c>
      <c r="C135" s="1789" t="s">
        <v>2183</v>
      </c>
      <c r="D135" s="1790"/>
      <c r="E135" s="1790"/>
      <c r="F135" s="1790"/>
      <c r="G135" s="1790"/>
      <c r="H135" s="1790"/>
      <c r="I135" s="1790"/>
      <c r="J135" s="1790"/>
      <c r="K135" s="1790"/>
      <c r="L135" s="1790"/>
      <c r="M135" s="1790"/>
      <c r="N135" s="1790"/>
      <c r="O135" s="1790"/>
      <c r="P135" s="1790"/>
      <c r="Q135" s="1790"/>
      <c r="R135" s="1581"/>
    </row>
    <row r="136" spans="2:18" s="7" customFormat="1" ht="41.25" customHeight="1">
      <c r="B136" s="1751" t="s">
        <v>2182</v>
      </c>
      <c r="C136" s="1789" t="s">
        <v>555</v>
      </c>
      <c r="D136" s="1790"/>
      <c r="E136" s="1790"/>
      <c r="F136" s="1790"/>
      <c r="G136" s="1790"/>
      <c r="H136" s="1790"/>
      <c r="I136" s="1790"/>
      <c r="J136" s="1790"/>
      <c r="K136" s="1790"/>
      <c r="L136" s="1790"/>
      <c r="M136" s="1790"/>
      <c r="N136" s="1790"/>
      <c r="O136" s="1790"/>
      <c r="P136" s="1790"/>
      <c r="Q136" s="1790"/>
      <c r="R136" s="562"/>
    </row>
    <row r="137" spans="2:18" ht="39.9" customHeight="1">
      <c r="B137" s="1751" t="s">
        <v>2548</v>
      </c>
      <c r="C137" s="1789" t="s">
        <v>556</v>
      </c>
      <c r="D137" s="1790"/>
      <c r="E137" s="1790"/>
      <c r="F137" s="1790"/>
      <c r="G137" s="1790"/>
      <c r="H137" s="1790"/>
      <c r="I137" s="1790"/>
      <c r="J137" s="1790"/>
      <c r="K137" s="1790"/>
      <c r="L137" s="1790"/>
      <c r="M137" s="1790"/>
      <c r="N137" s="1790"/>
      <c r="O137" s="1790"/>
      <c r="P137" s="1790"/>
      <c r="Q137" s="1790"/>
      <c r="R137" s="562"/>
    </row>
    <row r="138" spans="2:18" ht="24.75" customHeight="1">
      <c r="B138" s="577" t="s">
        <v>2611</v>
      </c>
      <c r="C138" s="568" t="s">
        <v>523</v>
      </c>
      <c r="D138" s="562"/>
      <c r="E138" s="562"/>
      <c r="F138" s="562"/>
      <c r="G138" s="562"/>
      <c r="H138" s="562"/>
      <c r="I138" s="562"/>
      <c r="J138" s="562"/>
      <c r="K138" s="562"/>
      <c r="L138" s="562"/>
      <c r="M138" s="562"/>
      <c r="N138" s="562"/>
      <c r="O138" s="562"/>
      <c r="P138" s="562"/>
      <c r="Q138" s="562"/>
      <c r="R138" s="562"/>
    </row>
    <row r="139" spans="2:18" ht="39.9" customHeight="1">
      <c r="B139" s="1792" t="str">
        <f>'Completeness Tracker'!N33</f>
        <v>3B. Demographic</v>
      </c>
      <c r="C139" s="1792"/>
      <c r="D139" s="1792"/>
      <c r="E139" s="1792"/>
      <c r="F139" s="1792"/>
      <c r="G139" s="1792"/>
      <c r="H139" s="1792"/>
      <c r="I139" s="1792"/>
      <c r="J139" s="1792"/>
      <c r="K139" s="1792"/>
      <c r="L139" s="1792"/>
      <c r="M139" s="1792"/>
      <c r="N139" s="1792"/>
      <c r="O139" s="1792"/>
      <c r="P139" s="1792"/>
      <c r="Q139" s="1792"/>
      <c r="R139" s="1792"/>
    </row>
    <row r="140" spans="2:18" ht="93.75" customHeight="1">
      <c r="B140" s="1805" t="s">
        <v>1497</v>
      </c>
      <c r="C140" s="1805"/>
      <c r="D140" s="1805"/>
      <c r="E140" s="1805"/>
      <c r="F140" s="1805"/>
      <c r="G140" s="1805"/>
      <c r="H140" s="1805"/>
      <c r="I140" s="1805"/>
      <c r="J140" s="1805"/>
      <c r="K140" s="1805"/>
      <c r="L140" s="1805"/>
      <c r="M140" s="1805"/>
      <c r="N140" s="1805"/>
      <c r="O140" s="1805"/>
      <c r="P140" s="1805"/>
      <c r="Q140" s="1805"/>
      <c r="R140" s="1805"/>
    </row>
    <row r="141" spans="2:18" ht="315" customHeight="1">
      <c r="B141" s="1805" t="s">
        <v>1498</v>
      </c>
      <c r="C141" s="1805"/>
      <c r="D141" s="1805"/>
      <c r="E141" s="1805"/>
      <c r="F141" s="1805"/>
      <c r="G141" s="1805"/>
      <c r="H141" s="1805"/>
      <c r="I141" s="1805"/>
      <c r="J141" s="1805"/>
      <c r="K141" s="1805"/>
      <c r="L141" s="1805"/>
      <c r="M141" s="1805"/>
      <c r="N141" s="1805"/>
      <c r="O141" s="1805"/>
      <c r="P141" s="1805"/>
      <c r="Q141" s="1805"/>
      <c r="R141" s="1805"/>
    </row>
    <row r="142" spans="2:18" ht="56.25" customHeight="1">
      <c r="B142" s="1808" t="s">
        <v>2454</v>
      </c>
      <c r="C142" s="1808"/>
      <c r="D142" s="1808"/>
      <c r="E142" s="1808"/>
      <c r="F142" s="1808"/>
      <c r="G142" s="1808"/>
      <c r="H142" s="1808"/>
      <c r="I142" s="1808"/>
      <c r="J142" s="1808"/>
      <c r="K142" s="1808"/>
      <c r="L142" s="1808"/>
      <c r="M142" s="1808"/>
      <c r="N142" s="1808"/>
      <c r="O142" s="1808"/>
      <c r="P142" s="1808"/>
      <c r="Q142" s="1808"/>
      <c r="R142" s="1808"/>
    </row>
    <row r="143" spans="2:18" ht="165.6" customHeight="1">
      <c r="B143" s="1807" t="s">
        <v>2199</v>
      </c>
      <c r="C143" s="1807"/>
      <c r="D143" s="1807"/>
      <c r="E143" s="1807"/>
      <c r="F143" s="1807"/>
      <c r="G143" s="1807"/>
      <c r="H143" s="1807"/>
      <c r="I143" s="1807"/>
      <c r="J143" s="1807"/>
      <c r="K143" s="1807"/>
      <c r="L143" s="1807"/>
      <c r="M143" s="1807"/>
      <c r="N143" s="1807"/>
      <c r="O143" s="1807"/>
      <c r="P143" s="1807"/>
      <c r="Q143" s="1807"/>
      <c r="R143" s="1807"/>
    </row>
    <row r="144" spans="2:18" s="1584" customFormat="1" ht="152.4" customHeight="1">
      <c r="B144" s="1807" t="s">
        <v>2200</v>
      </c>
      <c r="C144" s="1807"/>
      <c r="D144" s="1807"/>
      <c r="E144" s="1807"/>
      <c r="F144" s="1807"/>
      <c r="G144" s="1807"/>
      <c r="H144" s="1807"/>
      <c r="I144" s="1807"/>
      <c r="J144" s="1807"/>
      <c r="K144" s="1807"/>
      <c r="L144" s="1807"/>
      <c r="M144" s="1807"/>
      <c r="N144" s="1807"/>
      <c r="O144" s="1807"/>
      <c r="P144" s="1807"/>
      <c r="Q144" s="1807"/>
      <c r="R144" s="1807"/>
    </row>
    <row r="145" spans="2:18" s="7" customFormat="1" ht="49.5" customHeight="1">
      <c r="B145" s="1811" t="s">
        <v>513</v>
      </c>
      <c r="C145" s="1811"/>
      <c r="D145" s="1811"/>
      <c r="E145" s="1811"/>
      <c r="F145" s="1811"/>
      <c r="G145" s="1811"/>
      <c r="H145" s="1811"/>
      <c r="I145" s="1811"/>
      <c r="J145" s="1811"/>
      <c r="K145" s="1811"/>
      <c r="L145" s="1811"/>
      <c r="M145" s="1811"/>
      <c r="N145" s="1811"/>
      <c r="O145" s="1811"/>
      <c r="P145" s="1811"/>
      <c r="Q145" s="1811"/>
      <c r="R145" s="1811"/>
    </row>
    <row r="146" spans="2:18" s="7" customFormat="1" ht="56.25" customHeight="1">
      <c r="B146" s="1811" t="s">
        <v>512</v>
      </c>
      <c r="C146" s="1811"/>
      <c r="D146" s="1811"/>
      <c r="E146" s="1811"/>
      <c r="F146" s="1811"/>
      <c r="G146" s="1811"/>
      <c r="H146" s="1811"/>
      <c r="I146" s="1811"/>
      <c r="J146" s="1811"/>
      <c r="K146" s="1811"/>
      <c r="L146" s="1811"/>
      <c r="M146" s="1811"/>
      <c r="N146" s="1811"/>
      <c r="O146" s="1811"/>
      <c r="P146" s="1811"/>
      <c r="Q146" s="1811"/>
      <c r="R146" s="1811"/>
    </row>
    <row r="147" spans="2:18" s="7" customFormat="1" ht="49.5" customHeight="1">
      <c r="B147" s="1812" t="s">
        <v>2612</v>
      </c>
      <c r="C147" s="1812"/>
      <c r="D147" s="1812"/>
      <c r="E147" s="1812"/>
      <c r="F147" s="1812"/>
      <c r="G147" s="1812"/>
      <c r="H147" s="1812"/>
      <c r="I147" s="1812"/>
      <c r="J147" s="1812"/>
      <c r="K147" s="1812"/>
      <c r="L147" s="1812"/>
      <c r="M147" s="1812"/>
      <c r="N147" s="1812"/>
      <c r="O147" s="1812"/>
      <c r="P147" s="1812"/>
      <c r="Q147" s="1812"/>
      <c r="R147" s="1812"/>
    </row>
    <row r="148" spans="2:18" s="7" customFormat="1" ht="39.9" customHeight="1">
      <c r="B148" s="1792" t="str">
        <f>'Completeness Tracker'!N34</f>
        <v>3C. Summary of Reported Household Demographics</v>
      </c>
      <c r="C148" s="1792"/>
      <c r="D148" s="1792"/>
      <c r="E148" s="1792"/>
      <c r="F148" s="1792"/>
      <c r="G148" s="1792"/>
      <c r="H148" s="1792"/>
      <c r="I148" s="1792"/>
      <c r="J148" s="1792"/>
      <c r="K148" s="1792"/>
      <c r="L148" s="1792"/>
      <c r="M148" s="1792"/>
      <c r="N148" s="1792"/>
      <c r="O148" s="1792"/>
      <c r="P148" s="1792"/>
      <c r="Q148" s="1792"/>
      <c r="R148" s="1792"/>
    </row>
    <row r="149" spans="2:18" s="7" customFormat="1" ht="32.25" customHeight="1">
      <c r="B149" s="1801" t="s">
        <v>1500</v>
      </c>
      <c r="C149" s="1801"/>
      <c r="D149" s="1801"/>
      <c r="E149" s="1801"/>
      <c r="F149" s="1801"/>
      <c r="G149" s="1801"/>
      <c r="H149" s="1801"/>
      <c r="I149" s="1801"/>
      <c r="J149" s="1801"/>
      <c r="K149" s="1801"/>
      <c r="L149" s="1801"/>
      <c r="M149" s="1801"/>
      <c r="N149" s="1801"/>
      <c r="O149" s="1801"/>
      <c r="P149" s="1801"/>
      <c r="Q149" s="1801"/>
      <c r="R149" s="1801"/>
    </row>
    <row r="150" spans="2:18" s="7" customFormat="1" ht="39.9" customHeight="1">
      <c r="B150" s="1792" t="str">
        <f>'Completeness Tracker'!N35</f>
        <v>4. Narrative</v>
      </c>
      <c r="C150" s="1792"/>
      <c r="D150" s="1792"/>
      <c r="E150" s="1792"/>
      <c r="F150" s="1792"/>
      <c r="G150" s="1792"/>
      <c r="H150" s="1792"/>
      <c r="I150" s="1792"/>
      <c r="J150" s="1792"/>
      <c r="K150" s="1792"/>
      <c r="L150" s="1792"/>
      <c r="M150" s="1792"/>
      <c r="N150" s="1792"/>
      <c r="O150" s="1792"/>
      <c r="P150" s="1792"/>
      <c r="Q150" s="1792"/>
      <c r="R150" s="1792"/>
    </row>
    <row r="151" spans="2:18" s="7" customFormat="1" ht="32.25" customHeight="1">
      <c r="B151" s="1795" t="s">
        <v>1440</v>
      </c>
      <c r="C151" s="1795"/>
      <c r="D151" s="1795"/>
      <c r="E151" s="1795"/>
      <c r="F151" s="1795"/>
      <c r="G151" s="1795"/>
      <c r="H151" s="1795"/>
      <c r="I151" s="1795"/>
      <c r="J151" s="1795"/>
      <c r="K151" s="1795"/>
      <c r="L151" s="1795"/>
      <c r="M151" s="1795"/>
      <c r="N151" s="1795"/>
      <c r="O151" s="1795"/>
      <c r="P151" s="1795"/>
      <c r="Q151" s="1795"/>
      <c r="R151" s="1795"/>
    </row>
    <row r="152" spans="2:18" ht="39.9" customHeight="1">
      <c r="B152" s="1792" t="str">
        <f>'Completeness Tracker'!N36</f>
        <v>5. Project Financing</v>
      </c>
      <c r="C152" s="1792"/>
      <c r="D152" s="1792"/>
      <c r="E152" s="1792"/>
      <c r="F152" s="1792"/>
      <c r="G152" s="1792"/>
      <c r="H152" s="1792"/>
      <c r="I152" s="1792"/>
      <c r="J152" s="1792"/>
      <c r="K152" s="1792"/>
      <c r="L152" s="1792"/>
      <c r="M152" s="1792"/>
      <c r="N152" s="1792"/>
      <c r="O152" s="1792"/>
      <c r="P152" s="1792"/>
      <c r="Q152" s="1792"/>
      <c r="R152" s="1792"/>
    </row>
    <row r="153" spans="2:18" ht="48" customHeight="1">
      <c r="B153" s="1801" t="s">
        <v>1076</v>
      </c>
      <c r="C153" s="1801"/>
      <c r="D153" s="1801"/>
      <c r="E153" s="1801"/>
      <c r="F153" s="1801"/>
      <c r="G153" s="1801"/>
      <c r="H153" s="1801"/>
      <c r="I153" s="1801"/>
      <c r="J153" s="1801"/>
      <c r="K153" s="1801"/>
      <c r="L153" s="1801"/>
      <c r="M153" s="1801"/>
      <c r="N153" s="1801"/>
      <c r="O153" s="1801"/>
      <c r="P153" s="1801"/>
      <c r="Q153" s="1801"/>
      <c r="R153" s="1801"/>
    </row>
    <row r="154" spans="2:18" ht="39.9" customHeight="1">
      <c r="B154" s="1792" t="str">
        <f>'Completeness Tracker'!N37</f>
        <v>6. Services Funding</v>
      </c>
      <c r="C154" s="1792"/>
      <c r="D154" s="1792"/>
      <c r="E154" s="1792"/>
      <c r="F154" s="1792"/>
      <c r="G154" s="1792"/>
      <c r="H154" s="1792"/>
      <c r="I154" s="1792"/>
      <c r="J154" s="1792"/>
      <c r="K154" s="1792"/>
      <c r="L154" s="1792"/>
      <c r="M154" s="1792"/>
      <c r="N154" s="1792"/>
      <c r="O154" s="1792"/>
      <c r="P154" s="1792"/>
      <c r="Q154" s="1792"/>
      <c r="R154" s="1792"/>
    </row>
    <row r="155" spans="2:18" ht="48" customHeight="1">
      <c r="B155" s="1801" t="s">
        <v>1501</v>
      </c>
      <c r="C155" s="1801"/>
      <c r="D155" s="1801"/>
      <c r="E155" s="1801"/>
      <c r="F155" s="1801"/>
      <c r="G155" s="1801"/>
      <c r="H155" s="1801"/>
      <c r="I155" s="1801"/>
      <c r="J155" s="1801"/>
      <c r="K155" s="1801"/>
      <c r="L155" s="1801"/>
      <c r="M155" s="1801"/>
      <c r="N155" s="1801"/>
      <c r="O155" s="1801"/>
      <c r="P155" s="1801"/>
      <c r="Q155" s="1801"/>
      <c r="R155" s="1801"/>
    </row>
    <row r="156" spans="2:18" ht="39.9" customHeight="1">
      <c r="B156" s="1792" t="str">
        <f>'Completeness Tracker'!N38</f>
        <v>7. Supplementary Audit Information - Required by MOHCD</v>
      </c>
      <c r="C156" s="1792"/>
      <c r="D156" s="1792"/>
      <c r="E156" s="1792"/>
      <c r="F156" s="1792"/>
      <c r="G156" s="1792"/>
      <c r="H156" s="1792"/>
      <c r="I156" s="1792"/>
      <c r="J156" s="1792"/>
      <c r="K156" s="1792"/>
      <c r="L156" s="1792"/>
      <c r="M156" s="1792"/>
      <c r="N156" s="1792"/>
      <c r="O156" s="1792"/>
      <c r="P156" s="1792"/>
      <c r="Q156" s="1792"/>
      <c r="R156" s="1792"/>
    </row>
    <row r="157" spans="2:18" ht="70.5" customHeight="1">
      <c r="B157" s="1801" t="s">
        <v>1274</v>
      </c>
      <c r="C157" s="1801"/>
      <c r="D157" s="1801"/>
      <c r="E157" s="1801"/>
      <c r="F157" s="1801"/>
      <c r="G157" s="1801"/>
      <c r="H157" s="1801"/>
      <c r="I157" s="1801"/>
      <c r="J157" s="1801"/>
      <c r="K157" s="1801"/>
      <c r="L157" s="1801"/>
      <c r="M157" s="1801"/>
      <c r="N157" s="1801"/>
      <c r="O157" s="1801"/>
      <c r="P157" s="1801"/>
      <c r="Q157" s="1801"/>
      <c r="R157" s="1801"/>
    </row>
    <row r="158" spans="2:18" ht="39.9" customHeight="1">
      <c r="B158" s="1792" t="s">
        <v>1098</v>
      </c>
      <c r="C158" s="1792"/>
      <c r="D158" s="1792"/>
      <c r="E158" s="1792"/>
      <c r="F158" s="1792"/>
      <c r="G158" s="1792"/>
      <c r="H158" s="1792"/>
      <c r="I158" s="1792"/>
      <c r="J158" s="1792"/>
      <c r="K158" s="1792"/>
      <c r="L158" s="1792"/>
      <c r="M158" s="1792"/>
      <c r="N158" s="1792"/>
      <c r="O158" s="1792"/>
      <c r="P158" s="1792"/>
      <c r="Q158" s="1792"/>
      <c r="R158" s="1792"/>
    </row>
    <row r="159" spans="2:18" ht="27.75" customHeight="1">
      <c r="B159" s="1801" t="s">
        <v>385</v>
      </c>
      <c r="C159" s="1801"/>
      <c r="D159" s="1801"/>
      <c r="E159" s="1801"/>
      <c r="F159" s="1801"/>
      <c r="G159" s="1801"/>
      <c r="H159" s="1801"/>
      <c r="I159" s="1801"/>
      <c r="J159" s="1801"/>
      <c r="K159" s="1801"/>
      <c r="L159" s="1801"/>
      <c r="M159" s="1801"/>
      <c r="N159" s="1801"/>
      <c r="O159" s="1801"/>
      <c r="P159" s="1801"/>
      <c r="Q159" s="1801"/>
      <c r="R159" s="1801"/>
    </row>
    <row r="160" spans="2:18" ht="39.9" customHeight="1">
      <c r="B160" s="1792" t="s">
        <v>188</v>
      </c>
      <c r="C160" s="1792"/>
      <c r="D160" s="1792"/>
      <c r="E160" s="1792"/>
      <c r="F160" s="1792"/>
      <c r="G160" s="1792"/>
      <c r="H160" s="1792"/>
      <c r="I160" s="1792"/>
      <c r="J160" s="1792"/>
      <c r="K160" s="1792"/>
      <c r="L160" s="1792"/>
      <c r="M160" s="1792"/>
      <c r="N160" s="1792"/>
      <c r="O160" s="1792"/>
      <c r="P160" s="1792"/>
      <c r="Q160" s="1792"/>
      <c r="R160" s="1792"/>
    </row>
    <row r="161" spans="1:18" ht="50.25" customHeight="1">
      <c r="B161" s="1801" t="s">
        <v>105</v>
      </c>
      <c r="C161" s="1801"/>
      <c r="D161" s="1801"/>
      <c r="E161" s="1801"/>
      <c r="F161" s="1801"/>
      <c r="G161" s="1801"/>
      <c r="H161" s="1801"/>
      <c r="I161" s="1801"/>
      <c r="J161" s="1801"/>
      <c r="K161" s="1801"/>
      <c r="L161" s="1801"/>
      <c r="M161" s="1801"/>
      <c r="N161" s="1801"/>
      <c r="O161" s="1801"/>
      <c r="P161" s="1801"/>
      <c r="Q161" s="1801"/>
      <c r="R161" s="1379"/>
    </row>
    <row r="162" spans="1:18" ht="26.1" customHeight="1">
      <c r="B162" s="1799" t="s">
        <v>1577</v>
      </c>
      <c r="C162" s="1799"/>
      <c r="D162" s="1799"/>
      <c r="E162" s="1799"/>
      <c r="F162" s="1799"/>
      <c r="G162" s="259"/>
      <c r="H162" s="259"/>
      <c r="I162" s="259"/>
      <c r="J162" s="259"/>
      <c r="K162" s="259"/>
      <c r="L162" s="259"/>
      <c r="M162" s="259"/>
      <c r="N162" s="259"/>
      <c r="O162" s="259"/>
    </row>
    <row r="163" spans="1:18" ht="20.100000000000001" customHeight="1">
      <c r="B163" s="258"/>
      <c r="C163" s="260" t="s">
        <v>1502</v>
      </c>
      <c r="D163" s="260"/>
      <c r="E163" s="260"/>
      <c r="F163" s="260"/>
      <c r="G163" s="260"/>
      <c r="H163" s="260"/>
      <c r="I163" s="260"/>
      <c r="J163" s="261"/>
      <c r="K163" s="261"/>
      <c r="L163" s="261"/>
      <c r="M163" s="261"/>
      <c r="N163" s="259"/>
      <c r="O163" s="259"/>
    </row>
    <row r="164" spans="1:18" ht="26.1" customHeight="1">
      <c r="A164" s="1378"/>
      <c r="B164" s="1799" t="s">
        <v>189</v>
      </c>
      <c r="C164" s="1799"/>
      <c r="D164" s="1799"/>
      <c r="E164" s="1799"/>
      <c r="F164" s="1799"/>
      <c r="G164" s="1374"/>
      <c r="H164" s="1374"/>
      <c r="I164" s="1374"/>
      <c r="J164" s="1374"/>
      <c r="K164" s="1374"/>
      <c r="L164" s="1374"/>
      <c r="M164" s="259"/>
      <c r="N164" s="259"/>
      <c r="O164" s="259"/>
    </row>
    <row r="165" spans="1:18" ht="20.100000000000001" customHeight="1">
      <c r="A165" s="1378"/>
      <c r="B165" s="258"/>
      <c r="C165" s="260" t="s">
        <v>1575</v>
      </c>
      <c r="D165" s="260"/>
      <c r="E165" s="260"/>
      <c r="F165" s="260"/>
      <c r="G165" s="1376"/>
      <c r="H165" s="1374"/>
      <c r="I165" s="1374"/>
      <c r="J165" s="1374"/>
      <c r="K165" s="1374"/>
      <c r="L165" s="1374"/>
      <c r="M165" s="259"/>
      <c r="N165" s="259"/>
      <c r="O165" s="259"/>
    </row>
    <row r="166" spans="1:18" ht="20.100000000000001" customHeight="1">
      <c r="B166" s="1799" t="s">
        <v>456</v>
      </c>
      <c r="C166" s="1799"/>
      <c r="D166" s="1799"/>
      <c r="E166" s="1799"/>
      <c r="F166" s="1799"/>
      <c r="G166" s="1374"/>
      <c r="H166" s="1374"/>
      <c r="I166" s="1374"/>
      <c r="J166" s="1374"/>
      <c r="K166" s="1374"/>
      <c r="L166" s="1374"/>
      <c r="M166" s="259"/>
      <c r="N166" s="259"/>
      <c r="O166" s="259"/>
    </row>
    <row r="167" spans="1:18" ht="20.100000000000001" customHeight="1">
      <c r="B167" s="1375"/>
      <c r="C167" s="1376" t="s">
        <v>1503</v>
      </c>
      <c r="D167" s="1375"/>
      <c r="E167" s="1375"/>
      <c r="F167" s="1375"/>
      <c r="G167" s="1376"/>
      <c r="H167" s="1374"/>
      <c r="I167" s="1374"/>
      <c r="J167" s="1374"/>
      <c r="K167" s="1374"/>
      <c r="L167" s="1374"/>
      <c r="M167" s="259"/>
      <c r="N167" s="259"/>
      <c r="O167" s="259"/>
    </row>
    <row r="168" spans="1:18" ht="26.1" customHeight="1">
      <c r="A168" s="1378"/>
      <c r="B168" s="1799" t="s">
        <v>457</v>
      </c>
      <c r="C168" s="1799"/>
      <c r="D168" s="1799"/>
      <c r="E168" s="1799"/>
      <c r="F168" s="1799"/>
      <c r="G168" s="1374"/>
      <c r="H168" s="1374"/>
      <c r="I168" s="1374"/>
      <c r="J168" s="1374"/>
      <c r="K168" s="1374"/>
      <c r="L168" s="1374"/>
      <c r="M168" s="1374"/>
      <c r="N168" s="1374"/>
      <c r="O168" s="259"/>
    </row>
    <row r="169" spans="1:18" ht="20.100000000000001" customHeight="1">
      <c r="A169" s="1378"/>
      <c r="B169" s="1407"/>
      <c r="C169" s="1376" t="s">
        <v>1576</v>
      </c>
      <c r="D169" s="1407"/>
      <c r="E169" s="1407"/>
      <c r="F169" s="1407"/>
      <c r="G169" s="1376"/>
      <c r="H169" s="1374"/>
      <c r="I169" s="1374"/>
      <c r="J169" s="1374"/>
      <c r="K169" s="1374"/>
      <c r="L169" s="1374"/>
      <c r="M169" s="1374"/>
      <c r="N169" s="1374"/>
      <c r="O169" s="259"/>
    </row>
    <row r="170" spans="1:18" ht="17.399999999999999">
      <c r="B170" s="1800" t="s">
        <v>1267</v>
      </c>
      <c r="C170" s="1800"/>
      <c r="D170" s="1800"/>
      <c r="E170" s="1800"/>
      <c r="F170" s="1800"/>
      <c r="G170" s="1374"/>
      <c r="H170" s="1374"/>
      <c r="I170" s="1374"/>
      <c r="J170" s="1374"/>
      <c r="K170" s="1374"/>
      <c r="L170" s="1374"/>
      <c r="M170" s="1374"/>
      <c r="N170" s="1374"/>
      <c r="O170" s="259"/>
    </row>
    <row r="171" spans="1:18" ht="16.8">
      <c r="B171" s="1374"/>
      <c r="C171" s="1376" t="s">
        <v>1504</v>
      </c>
      <c r="D171" s="1374"/>
      <c r="E171" s="1374"/>
      <c r="F171" s="1374"/>
      <c r="G171" s="1374"/>
      <c r="H171" s="1374"/>
      <c r="I171" s="1374"/>
      <c r="J171" s="1374"/>
      <c r="K171" s="1374"/>
      <c r="L171" s="1374"/>
      <c r="M171" s="1374"/>
      <c r="N171" s="1374"/>
      <c r="O171" s="259"/>
    </row>
    <row r="172" spans="1:18" hidden="1">
      <c r="B172" s="1374"/>
      <c r="C172" s="1374"/>
      <c r="D172" s="1374"/>
      <c r="E172" s="1374"/>
      <c r="F172" s="1374"/>
      <c r="G172" s="1374"/>
      <c r="H172" s="1374"/>
      <c r="I172" s="1374"/>
      <c r="J172" s="1374"/>
      <c r="K172" s="1374"/>
      <c r="L172" s="1374"/>
      <c r="M172" s="1374"/>
      <c r="N172" s="1374"/>
      <c r="O172" s="259"/>
    </row>
    <row r="173" spans="1:18" hidden="1">
      <c r="B173" s="1377"/>
      <c r="C173" s="1377"/>
      <c r="D173" s="1377"/>
      <c r="E173" s="1377"/>
      <c r="F173" s="1377"/>
      <c r="G173" s="1377"/>
      <c r="H173" s="1377"/>
      <c r="I173" s="1377"/>
      <c r="J173" s="1377"/>
      <c r="K173" s="1377"/>
      <c r="L173" s="1377"/>
      <c r="M173" s="1377"/>
      <c r="N173" s="1377"/>
    </row>
    <row r="174" spans="1:18" hidden="1">
      <c r="B174" s="1377"/>
      <c r="C174" s="1377"/>
      <c r="D174" s="1377"/>
      <c r="E174" s="1377"/>
      <c r="F174" s="1377"/>
      <c r="G174" s="1377"/>
      <c r="H174" s="1377"/>
      <c r="I174" s="1377"/>
      <c r="J174" s="1377"/>
      <c r="K174" s="1377"/>
      <c r="L174" s="1377"/>
      <c r="M174" s="1377"/>
      <c r="N174" s="1377"/>
    </row>
    <row r="175" spans="1:18" hidden="1">
      <c r="B175" s="1377"/>
      <c r="C175" s="1377"/>
      <c r="D175" s="1377"/>
      <c r="E175" s="1377"/>
      <c r="F175" s="1377"/>
      <c r="G175" s="1377"/>
      <c r="H175" s="1377"/>
      <c r="I175" s="1377"/>
      <c r="J175" s="1377"/>
      <c r="K175" s="1377"/>
      <c r="L175" s="1377"/>
      <c r="M175" s="1377"/>
      <c r="N175" s="1377"/>
    </row>
    <row r="176" spans="1:18" hidden="1">
      <c r="B176" s="1377"/>
      <c r="C176" s="1377"/>
      <c r="D176" s="1377"/>
      <c r="E176" s="1377"/>
      <c r="F176" s="1377"/>
      <c r="G176" s="1377"/>
      <c r="H176" s="1377"/>
      <c r="I176" s="1377"/>
      <c r="J176" s="1377"/>
      <c r="K176" s="1377"/>
      <c r="L176" s="1377"/>
      <c r="M176" s="1377"/>
      <c r="N176" s="1377"/>
    </row>
    <row r="177" spans="2:14" hidden="1">
      <c r="B177" s="1377"/>
      <c r="C177" s="1377"/>
      <c r="D177" s="1377"/>
      <c r="E177" s="1377"/>
      <c r="F177" s="1377"/>
      <c r="G177" s="1377"/>
      <c r="H177" s="1377"/>
      <c r="I177" s="1377"/>
      <c r="J177" s="1377"/>
      <c r="K177" s="1377"/>
      <c r="L177" s="1377"/>
      <c r="M177" s="1377"/>
      <c r="N177" s="1377"/>
    </row>
    <row r="178" spans="2:14" hidden="1">
      <c r="B178" s="1377"/>
      <c r="C178" s="1377"/>
      <c r="D178" s="1377"/>
      <c r="E178" s="1377"/>
      <c r="F178" s="1377"/>
      <c r="G178" s="1377"/>
      <c r="H178" s="1377"/>
      <c r="I178" s="1377"/>
      <c r="J178" s="1377"/>
      <c r="K178" s="1377"/>
      <c r="L178" s="1377"/>
      <c r="M178" s="1377"/>
      <c r="N178" s="1377"/>
    </row>
    <row r="179" spans="2:14" hidden="1">
      <c r="B179" s="1377"/>
      <c r="C179" s="1377"/>
      <c r="D179" s="1377"/>
      <c r="E179" s="1377"/>
      <c r="F179" s="1377"/>
      <c r="G179" s="1377"/>
      <c r="H179" s="1377"/>
      <c r="I179" s="1377"/>
      <c r="J179" s="1377"/>
      <c r="K179" s="1377"/>
      <c r="L179" s="1377"/>
      <c r="M179" s="1377"/>
      <c r="N179" s="1377"/>
    </row>
    <row r="180" spans="2:14" hidden="1">
      <c r="B180" s="1377"/>
      <c r="C180" s="1377"/>
      <c r="D180" s="1377"/>
      <c r="E180" s="1377"/>
      <c r="F180" s="1377"/>
      <c r="G180" s="1377"/>
      <c r="H180" s="1377"/>
      <c r="I180" s="1377"/>
      <c r="J180" s="1377"/>
      <c r="K180" s="1377"/>
      <c r="L180" s="1377"/>
      <c r="M180" s="1377"/>
      <c r="N180" s="1377"/>
    </row>
    <row r="181" spans="2:14" hidden="1">
      <c r="B181" s="1377"/>
      <c r="C181" s="1377"/>
      <c r="D181" s="1377"/>
      <c r="E181" s="1377"/>
      <c r="F181" s="1377"/>
      <c r="G181" s="1377"/>
      <c r="H181" s="1377"/>
      <c r="I181" s="1377"/>
      <c r="J181" s="1377"/>
      <c r="K181" s="1377"/>
      <c r="L181" s="1377"/>
      <c r="M181" s="1377"/>
      <c r="N181" s="1377"/>
    </row>
    <row r="182" spans="2:14" hidden="1">
      <c r="B182" s="1377"/>
      <c r="C182" s="1377"/>
      <c r="D182" s="1377"/>
      <c r="E182" s="1377"/>
      <c r="F182" s="1377"/>
      <c r="G182" s="1377"/>
      <c r="H182" s="1377"/>
      <c r="I182" s="1377"/>
      <c r="J182" s="1377"/>
      <c r="K182" s="1377"/>
      <c r="L182" s="1377"/>
      <c r="M182" s="1377"/>
      <c r="N182" s="1377"/>
    </row>
    <row r="183" spans="2:14" hidden="1">
      <c r="B183" s="1377"/>
      <c r="C183" s="1377"/>
      <c r="D183" s="1377"/>
      <c r="E183" s="1377"/>
      <c r="F183" s="1377"/>
      <c r="G183" s="1377"/>
      <c r="H183" s="1377"/>
      <c r="I183" s="1377"/>
      <c r="J183" s="1377"/>
      <c r="K183" s="1377"/>
      <c r="L183" s="1377"/>
      <c r="M183" s="1377"/>
      <c r="N183" s="1377"/>
    </row>
    <row r="184" spans="2:14" hidden="1">
      <c r="B184" s="1377"/>
      <c r="C184" s="1377"/>
      <c r="D184" s="1377"/>
      <c r="E184" s="1377"/>
      <c r="F184" s="1377"/>
      <c r="G184" s="1377"/>
      <c r="H184" s="1377"/>
      <c r="I184" s="1377"/>
      <c r="J184" s="1377"/>
      <c r="K184" s="1377"/>
      <c r="L184" s="1377"/>
      <c r="M184" s="1377"/>
      <c r="N184" s="1377"/>
    </row>
    <row r="185" spans="2:14" hidden="1">
      <c r="B185" s="1377"/>
      <c r="C185" s="1377"/>
      <c r="D185" s="1377"/>
      <c r="E185" s="1377"/>
      <c r="F185" s="1377"/>
      <c r="G185" s="1377"/>
      <c r="H185" s="1377"/>
      <c r="I185" s="1377"/>
      <c r="J185" s="1377"/>
      <c r="K185" s="1377"/>
      <c r="L185" s="1377"/>
      <c r="M185" s="1377"/>
      <c r="N185" s="1377"/>
    </row>
    <row r="186" spans="2:14" hidden="1">
      <c r="B186" s="1377"/>
      <c r="C186" s="1377"/>
      <c r="D186" s="1377"/>
      <c r="E186" s="1377"/>
      <c r="F186" s="1377"/>
      <c r="G186" s="1377"/>
      <c r="H186" s="1377"/>
      <c r="I186" s="1377"/>
      <c r="J186" s="1377"/>
      <c r="K186" s="1377"/>
      <c r="L186" s="1377"/>
      <c r="M186" s="1377"/>
      <c r="N186" s="1377"/>
    </row>
    <row r="187" spans="2:14" hidden="1">
      <c r="B187" s="1377"/>
      <c r="C187" s="1377"/>
      <c r="D187" s="1377"/>
      <c r="E187" s="1377"/>
      <c r="F187" s="1377"/>
      <c r="G187" s="1377"/>
      <c r="H187" s="1377"/>
      <c r="I187" s="1377"/>
      <c r="J187" s="1377"/>
      <c r="K187" s="1377"/>
      <c r="L187" s="1377"/>
      <c r="M187" s="1377"/>
      <c r="N187" s="1377"/>
    </row>
    <row r="188" spans="2:14" hidden="1">
      <c r="B188" s="1377"/>
      <c r="C188" s="1377"/>
      <c r="D188" s="1377"/>
      <c r="E188" s="1377"/>
      <c r="F188" s="1377"/>
      <c r="G188" s="1377"/>
      <c r="H188" s="1377"/>
      <c r="I188" s="1377"/>
      <c r="J188" s="1377"/>
      <c r="K188" s="1377"/>
      <c r="L188" s="1377"/>
      <c r="M188" s="1377"/>
      <c r="N188" s="1377"/>
    </row>
    <row r="189" spans="2:14" hidden="1">
      <c r="B189" s="1377"/>
      <c r="C189" s="1377"/>
      <c r="D189" s="1377"/>
      <c r="E189" s="1377"/>
      <c r="F189" s="1377"/>
      <c r="G189" s="1377"/>
      <c r="H189" s="1377"/>
      <c r="I189" s="1377"/>
      <c r="J189" s="1377"/>
      <c r="K189" s="1377"/>
      <c r="L189" s="1377"/>
      <c r="M189" s="1377"/>
      <c r="N189" s="1377"/>
    </row>
    <row r="190" spans="2:14" hidden="1">
      <c r="B190" s="1377"/>
      <c r="C190" s="1377"/>
      <c r="D190" s="1377"/>
      <c r="E190" s="1377"/>
      <c r="F190" s="1377"/>
      <c r="G190" s="1377"/>
      <c r="H190" s="1377"/>
      <c r="I190" s="1377"/>
      <c r="J190" s="1377"/>
      <c r="K190" s="1377"/>
      <c r="L190" s="1377"/>
      <c r="M190" s="1377"/>
      <c r="N190" s="1377"/>
    </row>
    <row r="191" spans="2:14" hidden="1">
      <c r="B191" s="1377"/>
      <c r="C191" s="1377"/>
      <c r="D191" s="1377"/>
      <c r="E191" s="1377"/>
      <c r="F191" s="1377"/>
      <c r="G191" s="1377"/>
      <c r="H191" s="1377"/>
      <c r="I191" s="1377"/>
      <c r="J191" s="1377"/>
      <c r="K191" s="1377"/>
      <c r="L191" s="1377"/>
      <c r="M191" s="1377"/>
      <c r="N191" s="1377"/>
    </row>
    <row r="192" spans="2:14" hidden="1">
      <c r="B192" s="1377"/>
      <c r="C192" s="1377"/>
      <c r="D192" s="1377"/>
      <c r="E192" s="1377"/>
      <c r="F192" s="1377"/>
      <c r="G192" s="1377"/>
      <c r="H192" s="1377"/>
      <c r="I192" s="1377"/>
      <c r="J192" s="1377"/>
      <c r="K192" s="1377"/>
      <c r="L192" s="1377"/>
      <c r="M192" s="1377"/>
      <c r="N192" s="1377"/>
    </row>
    <row r="193" spans="2:14" hidden="1">
      <c r="B193" s="1377"/>
      <c r="C193" s="1377"/>
      <c r="D193" s="1377"/>
      <c r="E193" s="1377"/>
      <c r="F193" s="1377"/>
      <c r="G193" s="1377"/>
      <c r="H193" s="1377"/>
      <c r="I193" s="1377"/>
      <c r="J193" s="1377"/>
      <c r="K193" s="1377"/>
      <c r="L193" s="1377"/>
      <c r="M193" s="1377"/>
      <c r="N193" s="1377"/>
    </row>
    <row r="194" spans="2:14" hidden="1">
      <c r="B194" s="1377"/>
      <c r="C194" s="1377"/>
      <c r="D194" s="1377"/>
      <c r="E194" s="1377"/>
      <c r="F194" s="1377"/>
      <c r="G194" s="1377"/>
      <c r="H194" s="1377"/>
      <c r="I194" s="1377"/>
      <c r="J194" s="1377"/>
      <c r="K194" s="1377"/>
      <c r="L194" s="1377"/>
      <c r="M194" s="1377"/>
      <c r="N194" s="1377"/>
    </row>
    <row r="195" spans="2:14" hidden="1">
      <c r="B195" s="1377"/>
      <c r="C195" s="1377"/>
      <c r="D195" s="1377"/>
      <c r="E195" s="1377"/>
      <c r="F195" s="1377"/>
      <c r="G195" s="1377"/>
      <c r="H195" s="1377"/>
      <c r="I195" s="1377"/>
      <c r="J195" s="1377"/>
      <c r="K195" s="1377"/>
      <c r="L195" s="1377"/>
      <c r="M195" s="1377"/>
      <c r="N195" s="1377"/>
    </row>
    <row r="196" spans="2:14" hidden="1">
      <c r="B196" s="1377"/>
      <c r="C196" s="1377"/>
      <c r="D196" s="1377"/>
      <c r="E196" s="1377"/>
      <c r="F196" s="1377"/>
      <c r="G196" s="1377"/>
      <c r="H196" s="1377"/>
      <c r="I196" s="1377"/>
      <c r="J196" s="1377"/>
      <c r="K196" s="1377"/>
      <c r="L196" s="1377"/>
      <c r="M196" s="1377"/>
      <c r="N196" s="1377"/>
    </row>
    <row r="197" spans="2:14" hidden="1">
      <c r="B197" s="1377"/>
      <c r="C197" s="1377"/>
      <c r="D197" s="1377"/>
      <c r="E197" s="1377"/>
      <c r="F197" s="1377"/>
      <c r="G197" s="1377"/>
      <c r="H197" s="1377"/>
      <c r="I197" s="1377"/>
      <c r="J197" s="1377"/>
      <c r="K197" s="1377"/>
      <c r="L197" s="1377"/>
      <c r="M197" s="1377"/>
      <c r="N197" s="1377"/>
    </row>
    <row r="198" spans="2:14" hidden="1">
      <c r="B198" s="1377"/>
      <c r="C198" s="1377"/>
      <c r="D198" s="1377"/>
      <c r="E198" s="1377"/>
      <c r="F198" s="1377"/>
      <c r="G198" s="1377"/>
      <c r="H198" s="1377"/>
      <c r="I198" s="1377"/>
      <c r="J198" s="1377"/>
      <c r="K198" s="1377"/>
      <c r="L198" s="1377"/>
      <c r="M198" s="1377"/>
      <c r="N198" s="1377"/>
    </row>
    <row r="199" spans="2:14" hidden="1">
      <c r="B199" s="1377"/>
      <c r="C199" s="1377"/>
      <c r="D199" s="1377"/>
      <c r="E199" s="1377"/>
      <c r="F199" s="1377"/>
      <c r="G199" s="1377"/>
      <c r="H199" s="1377"/>
      <c r="I199" s="1377"/>
      <c r="J199" s="1377"/>
      <c r="K199" s="1377"/>
      <c r="L199" s="1377"/>
      <c r="M199" s="1377"/>
      <c r="N199" s="1377"/>
    </row>
    <row r="200" spans="2:14" hidden="1">
      <c r="B200" s="1377"/>
      <c r="C200" s="1377"/>
      <c r="D200" s="1377"/>
      <c r="E200" s="1377"/>
      <c r="F200" s="1377"/>
      <c r="G200" s="1377"/>
      <c r="H200" s="1377"/>
      <c r="I200" s="1377"/>
      <c r="J200" s="1377"/>
      <c r="K200" s="1377"/>
      <c r="L200" s="1377"/>
      <c r="M200" s="1377"/>
      <c r="N200" s="1377"/>
    </row>
    <row r="201" spans="2:14" hidden="1">
      <c r="B201" s="1377"/>
      <c r="C201" s="1377"/>
      <c r="D201" s="1377"/>
      <c r="E201" s="1377"/>
      <c r="F201" s="1377"/>
      <c r="G201" s="1377"/>
      <c r="H201" s="1377"/>
      <c r="I201" s="1377"/>
      <c r="J201" s="1377"/>
      <c r="K201" s="1377"/>
      <c r="L201" s="1377"/>
      <c r="M201" s="1377"/>
      <c r="N201" s="1377"/>
    </row>
    <row r="202" spans="2:14" hidden="1">
      <c r="B202" s="1377"/>
      <c r="C202" s="1377"/>
      <c r="D202" s="1377"/>
      <c r="E202" s="1377"/>
      <c r="F202" s="1377"/>
      <c r="G202" s="1377"/>
      <c r="H202" s="1377"/>
      <c r="I202" s="1377"/>
      <c r="J202" s="1377"/>
      <c r="K202" s="1377"/>
      <c r="L202" s="1377"/>
      <c r="M202" s="1377"/>
      <c r="N202" s="1377"/>
    </row>
    <row r="203" spans="2:14" hidden="1">
      <c r="B203" s="1377"/>
      <c r="C203" s="1377"/>
      <c r="D203" s="1377"/>
      <c r="E203" s="1377"/>
      <c r="F203" s="1377"/>
      <c r="G203" s="1377"/>
      <c r="H203" s="1377"/>
      <c r="I203" s="1377"/>
      <c r="J203" s="1377"/>
      <c r="K203" s="1377"/>
      <c r="L203" s="1377"/>
      <c r="M203" s="1377"/>
      <c r="N203" s="1377"/>
    </row>
    <row r="204" spans="2:14" hidden="1">
      <c r="B204" s="1377"/>
      <c r="C204" s="1377"/>
      <c r="D204" s="1377"/>
      <c r="E204" s="1377"/>
      <c r="F204" s="1377"/>
      <c r="G204" s="1377"/>
      <c r="H204" s="1377"/>
      <c r="I204" s="1377"/>
      <c r="J204" s="1377"/>
      <c r="K204" s="1377"/>
      <c r="L204" s="1377"/>
      <c r="M204" s="1377"/>
      <c r="N204" s="1377"/>
    </row>
    <row r="205" spans="2:14" hidden="1">
      <c r="B205" s="1377"/>
      <c r="C205" s="1377"/>
      <c r="D205" s="1377"/>
      <c r="E205" s="1377"/>
      <c r="F205" s="1377"/>
      <c r="G205" s="1377"/>
      <c r="H205" s="1377"/>
      <c r="I205" s="1377"/>
      <c r="J205" s="1377"/>
      <c r="K205" s="1377"/>
      <c r="L205" s="1377"/>
      <c r="M205" s="1377"/>
      <c r="N205" s="1377"/>
    </row>
    <row r="206" spans="2:14" hidden="1">
      <c r="B206" s="1377"/>
      <c r="C206" s="1377"/>
      <c r="D206" s="1377"/>
      <c r="E206" s="1377"/>
      <c r="F206" s="1377"/>
      <c r="G206" s="1377"/>
      <c r="H206" s="1377"/>
      <c r="I206" s="1377"/>
      <c r="J206" s="1377"/>
      <c r="K206" s="1377"/>
      <c r="L206" s="1377"/>
      <c r="M206" s="1377"/>
      <c r="N206" s="1377"/>
    </row>
    <row r="207" spans="2:14" hidden="1">
      <c r="B207" s="1377"/>
      <c r="C207" s="1377"/>
      <c r="D207" s="1377"/>
      <c r="E207" s="1377"/>
      <c r="F207" s="1377"/>
      <c r="G207" s="1377"/>
      <c r="H207" s="1377"/>
      <c r="I207" s="1377"/>
      <c r="J207" s="1377"/>
      <c r="K207" s="1377"/>
      <c r="L207" s="1377"/>
      <c r="M207" s="1377"/>
      <c r="N207" s="1377"/>
    </row>
    <row r="208" spans="2:14" hidden="1">
      <c r="B208" s="1377"/>
      <c r="C208" s="1377"/>
      <c r="D208" s="1377"/>
      <c r="E208" s="1377"/>
      <c r="F208" s="1377"/>
      <c r="G208" s="1377"/>
      <c r="H208" s="1377"/>
      <c r="I208" s="1377"/>
      <c r="J208" s="1377"/>
      <c r="K208" s="1377"/>
      <c r="L208" s="1377"/>
      <c r="M208" s="1377"/>
      <c r="N208" s="1377"/>
    </row>
    <row r="209" spans="2:14" hidden="1">
      <c r="B209" s="1377"/>
      <c r="C209" s="1377"/>
      <c r="D209" s="1377"/>
      <c r="E209" s="1377"/>
      <c r="F209" s="1377"/>
      <c r="G209" s="1377"/>
      <c r="H209" s="1377"/>
      <c r="I209" s="1377"/>
      <c r="J209" s="1377"/>
      <c r="K209" s="1377"/>
      <c r="L209" s="1377"/>
      <c r="M209" s="1377"/>
      <c r="N209" s="1377"/>
    </row>
    <row r="210" spans="2:14" hidden="1">
      <c r="B210" s="1377"/>
      <c r="C210" s="1377"/>
      <c r="D210" s="1377"/>
      <c r="E210" s="1377"/>
      <c r="F210" s="1377"/>
      <c r="G210" s="1377"/>
      <c r="H210" s="1377"/>
      <c r="I210" s="1377"/>
      <c r="J210" s="1377"/>
      <c r="K210" s="1377"/>
      <c r="L210" s="1377"/>
      <c r="M210" s="1377"/>
      <c r="N210" s="1377"/>
    </row>
    <row r="211" spans="2:14" hidden="1">
      <c r="B211" s="1377"/>
      <c r="C211" s="1377"/>
      <c r="D211" s="1377"/>
      <c r="E211" s="1377"/>
      <c r="F211" s="1377"/>
      <c r="G211" s="1377"/>
      <c r="H211" s="1377"/>
      <c r="I211" s="1377"/>
      <c r="J211" s="1377"/>
      <c r="K211" s="1377"/>
      <c r="L211" s="1377"/>
      <c r="M211" s="1377"/>
      <c r="N211" s="1377"/>
    </row>
    <row r="212" spans="2:14" hidden="1">
      <c r="B212" s="1377"/>
      <c r="C212" s="1377"/>
      <c r="D212" s="1377"/>
      <c r="E212" s="1377"/>
      <c r="F212" s="1377"/>
      <c r="G212" s="1377"/>
      <c r="H212" s="1377"/>
      <c r="I212" s="1377"/>
      <c r="J212" s="1377"/>
      <c r="K212" s="1377"/>
      <c r="L212" s="1377"/>
      <c r="M212" s="1377"/>
      <c r="N212" s="1377"/>
    </row>
    <row r="213" spans="2:14" hidden="1">
      <c r="B213" s="1377"/>
      <c r="C213" s="1377"/>
      <c r="D213" s="1377"/>
      <c r="E213" s="1377"/>
      <c r="F213" s="1377"/>
      <c r="G213" s="1377"/>
      <c r="H213" s="1377"/>
      <c r="I213" s="1377"/>
      <c r="J213" s="1377"/>
      <c r="K213" s="1377"/>
      <c r="L213" s="1377"/>
      <c r="M213" s="1377"/>
      <c r="N213" s="1377"/>
    </row>
    <row r="214" spans="2:14" hidden="1">
      <c r="B214" s="1377"/>
      <c r="C214" s="1377"/>
      <c r="D214" s="1377"/>
      <c r="E214" s="1377"/>
      <c r="F214" s="1377"/>
      <c r="G214" s="1377"/>
      <c r="H214" s="1377"/>
      <c r="I214" s="1377"/>
      <c r="J214" s="1377"/>
      <c r="K214" s="1377"/>
      <c r="L214" s="1377"/>
      <c r="M214" s="1377"/>
      <c r="N214" s="1377"/>
    </row>
    <row r="215" spans="2:14" hidden="1">
      <c r="B215" s="1377"/>
      <c r="C215" s="1377"/>
      <c r="D215" s="1377"/>
      <c r="E215" s="1377"/>
      <c r="F215" s="1377"/>
      <c r="G215" s="1377"/>
      <c r="H215" s="1377"/>
      <c r="I215" s="1377"/>
      <c r="J215" s="1377"/>
      <c r="K215" s="1377"/>
      <c r="L215" s="1377"/>
      <c r="M215" s="1377"/>
      <c r="N215" s="1377"/>
    </row>
    <row r="216" spans="2:14" hidden="1">
      <c r="B216" s="1377"/>
      <c r="C216" s="1377"/>
      <c r="D216" s="1377"/>
      <c r="E216" s="1377"/>
      <c r="F216" s="1377"/>
      <c r="G216" s="1377"/>
      <c r="H216" s="1377"/>
      <c r="I216" s="1377"/>
      <c r="J216" s="1377"/>
      <c r="K216" s="1377"/>
      <c r="L216" s="1377"/>
      <c r="M216" s="1377"/>
      <c r="N216" s="1377"/>
    </row>
    <row r="217" spans="2:14" hidden="1">
      <c r="B217" s="1377"/>
      <c r="C217" s="1377"/>
      <c r="D217" s="1377"/>
      <c r="E217" s="1377"/>
      <c r="F217" s="1377"/>
      <c r="G217" s="1377"/>
      <c r="H217" s="1377"/>
      <c r="I217" s="1377"/>
      <c r="J217" s="1377"/>
      <c r="K217" s="1377"/>
      <c r="L217" s="1377"/>
      <c r="M217" s="1377"/>
      <c r="N217" s="1377"/>
    </row>
    <row r="218" spans="2:14" hidden="1">
      <c r="B218" s="1377"/>
      <c r="C218" s="1377"/>
      <c r="D218" s="1377"/>
      <c r="E218" s="1377"/>
      <c r="F218" s="1377"/>
      <c r="G218" s="1377"/>
      <c r="H218" s="1377"/>
      <c r="I218" s="1377"/>
      <c r="J218" s="1377"/>
      <c r="K218" s="1377"/>
      <c r="L218" s="1377"/>
      <c r="M218" s="1377"/>
      <c r="N218" s="1377"/>
    </row>
    <row r="219" spans="2:14" hidden="1">
      <c r="B219" s="1377"/>
      <c r="C219" s="1377"/>
      <c r="D219" s="1377"/>
      <c r="E219" s="1377"/>
      <c r="F219" s="1377"/>
      <c r="G219" s="1377"/>
      <c r="H219" s="1377"/>
      <c r="I219" s="1377"/>
      <c r="J219" s="1377"/>
      <c r="K219" s="1377"/>
      <c r="L219" s="1377"/>
      <c r="M219" s="1377"/>
      <c r="N219" s="1377"/>
    </row>
    <row r="220" spans="2:14" hidden="1">
      <c r="B220" s="1377"/>
      <c r="C220" s="1377"/>
      <c r="D220" s="1377"/>
      <c r="E220" s="1377"/>
      <c r="F220" s="1377"/>
      <c r="G220" s="1377"/>
      <c r="H220" s="1377"/>
      <c r="I220" s="1377"/>
      <c r="J220" s="1377"/>
      <c r="K220" s="1377"/>
      <c r="L220" s="1377"/>
      <c r="M220" s="1377"/>
      <c r="N220" s="1377"/>
    </row>
    <row r="221" spans="2:14" hidden="1">
      <c r="B221" s="1377"/>
      <c r="C221" s="1377"/>
      <c r="D221" s="1377"/>
      <c r="E221" s="1377"/>
      <c r="F221" s="1377"/>
      <c r="G221" s="1377"/>
      <c r="H221" s="1377"/>
      <c r="I221" s="1377"/>
      <c r="J221" s="1377"/>
      <c r="K221" s="1377"/>
      <c r="L221" s="1377"/>
      <c r="M221" s="1377"/>
      <c r="N221" s="1377"/>
    </row>
    <row r="222" spans="2:14" hidden="1">
      <c r="B222" s="1377"/>
      <c r="C222" s="1377"/>
      <c r="D222" s="1377"/>
      <c r="E222" s="1377"/>
      <c r="F222" s="1377"/>
      <c r="G222" s="1377"/>
      <c r="H222" s="1377"/>
      <c r="I222" s="1377"/>
      <c r="J222" s="1377"/>
      <c r="K222" s="1377"/>
      <c r="L222" s="1377"/>
      <c r="M222" s="1377"/>
      <c r="N222" s="1377"/>
    </row>
    <row r="223" spans="2:14" hidden="1">
      <c r="B223" s="1377"/>
      <c r="C223" s="1377"/>
      <c r="D223" s="1377"/>
      <c r="E223" s="1377"/>
      <c r="F223" s="1377"/>
      <c r="G223" s="1377"/>
      <c r="H223" s="1377"/>
      <c r="I223" s="1377"/>
      <c r="J223" s="1377"/>
      <c r="K223" s="1377"/>
      <c r="L223" s="1377"/>
      <c r="M223" s="1377"/>
      <c r="N223" s="1377"/>
    </row>
    <row r="224" spans="2:14" hidden="1">
      <c r="B224" s="1377"/>
      <c r="C224" s="1377"/>
      <c r="D224" s="1377"/>
      <c r="E224" s="1377"/>
      <c r="F224" s="1377"/>
      <c r="G224" s="1377"/>
      <c r="H224" s="1377"/>
      <c r="I224" s="1377"/>
      <c r="J224" s="1377"/>
      <c r="K224" s="1377"/>
      <c r="L224" s="1377"/>
      <c r="M224" s="1377"/>
      <c r="N224" s="1377"/>
    </row>
    <row r="225" spans="2:14" hidden="1">
      <c r="B225" s="1377"/>
      <c r="C225" s="1377"/>
      <c r="D225" s="1377"/>
      <c r="E225" s="1377"/>
      <c r="F225" s="1377"/>
      <c r="G225" s="1377"/>
      <c r="H225" s="1377"/>
      <c r="I225" s="1377"/>
      <c r="J225" s="1377"/>
      <c r="K225" s="1377"/>
      <c r="L225" s="1377"/>
      <c r="M225" s="1377"/>
      <c r="N225" s="1377"/>
    </row>
    <row r="226" spans="2:14" hidden="1">
      <c r="B226" s="1377"/>
      <c r="C226" s="1377"/>
      <c r="D226" s="1377"/>
      <c r="E226" s="1377"/>
      <c r="F226" s="1377"/>
      <c r="G226" s="1377"/>
      <c r="H226" s="1377"/>
      <c r="I226" s="1377"/>
      <c r="J226" s="1377"/>
      <c r="K226" s="1377"/>
      <c r="L226" s="1377"/>
      <c r="M226" s="1377"/>
      <c r="N226" s="1377"/>
    </row>
    <row r="227" spans="2:14" hidden="1">
      <c r="B227" s="1377"/>
      <c r="C227" s="1377"/>
      <c r="D227" s="1377"/>
      <c r="E227" s="1377"/>
      <c r="F227" s="1377"/>
      <c r="G227" s="1377"/>
      <c r="H227" s="1377"/>
      <c r="I227" s="1377"/>
      <c r="J227" s="1377"/>
      <c r="K227" s="1377"/>
      <c r="L227" s="1377"/>
      <c r="M227" s="1377"/>
      <c r="N227" s="1377"/>
    </row>
    <row r="228" spans="2:14" hidden="1">
      <c r="B228" s="1377"/>
      <c r="C228" s="1377"/>
      <c r="D228" s="1377"/>
      <c r="E228" s="1377"/>
      <c r="F228" s="1377"/>
      <c r="G228" s="1377"/>
      <c r="H228" s="1377"/>
      <c r="I228" s="1377"/>
      <c r="J228" s="1377"/>
      <c r="K228" s="1377"/>
      <c r="L228" s="1377"/>
      <c r="M228" s="1377"/>
      <c r="N228" s="1377"/>
    </row>
    <row r="229" spans="2:14" hidden="1">
      <c r="B229" s="1377"/>
      <c r="C229" s="1377"/>
      <c r="D229" s="1377"/>
      <c r="E229" s="1377"/>
      <c r="F229" s="1377"/>
      <c r="G229" s="1377"/>
      <c r="H229" s="1377"/>
      <c r="I229" s="1377"/>
      <c r="J229" s="1377"/>
      <c r="K229" s="1377"/>
      <c r="L229" s="1377"/>
      <c r="M229" s="1377"/>
      <c r="N229" s="1377"/>
    </row>
    <row r="230" spans="2:14" hidden="1">
      <c r="B230" s="1377"/>
      <c r="C230" s="1377"/>
      <c r="D230" s="1377"/>
      <c r="E230" s="1377"/>
      <c r="F230" s="1377"/>
      <c r="G230" s="1377"/>
      <c r="H230" s="1377"/>
      <c r="I230" s="1377"/>
      <c r="J230" s="1377"/>
      <c r="K230" s="1377"/>
      <c r="L230" s="1377"/>
      <c r="M230" s="1377"/>
      <c r="N230" s="1377"/>
    </row>
    <row r="231" spans="2:14" hidden="1">
      <c r="B231" s="1377"/>
      <c r="C231" s="1377"/>
      <c r="D231" s="1377"/>
      <c r="E231" s="1377"/>
      <c r="F231" s="1377"/>
      <c r="G231" s="1377"/>
      <c r="H231" s="1377"/>
      <c r="I231" s="1377"/>
      <c r="J231" s="1377"/>
      <c r="K231" s="1377"/>
      <c r="L231" s="1377"/>
      <c r="M231" s="1377"/>
      <c r="N231" s="1377"/>
    </row>
    <row r="232" spans="2:14" hidden="1">
      <c r="B232" s="1377"/>
      <c r="C232" s="1377"/>
      <c r="D232" s="1377"/>
      <c r="E232" s="1377"/>
      <c r="F232" s="1377"/>
      <c r="G232" s="1377"/>
      <c r="H232" s="1377"/>
      <c r="I232" s="1377"/>
      <c r="J232" s="1377"/>
      <c r="K232" s="1377"/>
      <c r="L232" s="1377"/>
      <c r="M232" s="1377"/>
      <c r="N232" s="1377"/>
    </row>
    <row r="233" spans="2:14" hidden="1">
      <c r="B233" s="1377"/>
      <c r="C233" s="1377"/>
      <c r="D233" s="1377"/>
      <c r="E233" s="1377"/>
      <c r="F233" s="1377"/>
      <c r="G233" s="1377"/>
      <c r="H233" s="1377"/>
      <c r="I233" s="1377"/>
      <c r="J233" s="1377"/>
      <c r="K233" s="1377"/>
      <c r="L233" s="1377"/>
      <c r="M233" s="1377"/>
      <c r="N233" s="1377"/>
    </row>
    <row r="234" spans="2:14" hidden="1">
      <c r="B234" s="1377"/>
      <c r="C234" s="1377"/>
      <c r="D234" s="1377"/>
      <c r="E234" s="1377"/>
      <c r="F234" s="1377"/>
      <c r="G234" s="1377"/>
      <c r="H234" s="1377"/>
      <c r="I234" s="1377"/>
      <c r="J234" s="1377"/>
      <c r="K234" s="1377"/>
      <c r="L234" s="1377"/>
      <c r="M234" s="1377"/>
      <c r="N234" s="1377"/>
    </row>
    <row r="235" spans="2:14" hidden="1">
      <c r="B235" s="1377"/>
      <c r="C235" s="1377"/>
      <c r="D235" s="1377"/>
      <c r="E235" s="1377"/>
      <c r="F235" s="1377"/>
      <c r="G235" s="1377"/>
      <c r="H235" s="1377"/>
      <c r="I235" s="1377"/>
      <c r="J235" s="1377"/>
      <c r="K235" s="1377"/>
      <c r="L235" s="1377"/>
      <c r="M235" s="1377"/>
      <c r="N235" s="1377"/>
    </row>
    <row r="236" spans="2:14" hidden="1">
      <c r="B236" s="1377"/>
      <c r="C236" s="1377"/>
      <c r="D236" s="1377"/>
      <c r="E236" s="1377"/>
      <c r="F236" s="1377"/>
      <c r="G236" s="1377"/>
      <c r="H236" s="1377"/>
      <c r="I236" s="1377"/>
      <c r="J236" s="1377"/>
      <c r="K236" s="1377"/>
      <c r="L236" s="1377"/>
      <c r="M236" s="1377"/>
      <c r="N236" s="1377"/>
    </row>
    <row r="237" spans="2:14" hidden="1">
      <c r="B237" s="1377"/>
      <c r="C237" s="1377"/>
      <c r="D237" s="1377"/>
      <c r="E237" s="1377"/>
      <c r="F237" s="1377"/>
      <c r="G237" s="1377"/>
      <c r="H237" s="1377"/>
      <c r="I237" s="1377"/>
      <c r="J237" s="1377"/>
      <c r="K237" s="1377"/>
      <c r="L237" s="1377"/>
      <c r="M237" s="1377"/>
      <c r="N237" s="1377"/>
    </row>
    <row r="238" spans="2:14" hidden="1">
      <c r="B238" s="1377"/>
      <c r="C238" s="1377"/>
      <c r="D238" s="1377"/>
      <c r="E238" s="1377"/>
      <c r="F238" s="1377"/>
      <c r="G238" s="1377"/>
      <c r="H238" s="1377"/>
      <c r="I238" s="1377"/>
      <c r="J238" s="1377"/>
      <c r="K238" s="1377"/>
      <c r="L238" s="1377"/>
      <c r="M238" s="1377"/>
      <c r="N238" s="1377"/>
    </row>
    <row r="239" spans="2:14" hidden="1">
      <c r="B239" s="1377"/>
      <c r="C239" s="1377"/>
      <c r="D239" s="1377"/>
      <c r="E239" s="1377"/>
      <c r="F239" s="1377"/>
      <c r="G239" s="1377"/>
      <c r="H239" s="1377"/>
      <c r="I239" s="1377"/>
      <c r="J239" s="1377"/>
      <c r="K239" s="1377"/>
      <c r="L239" s="1377"/>
      <c r="M239" s="1377"/>
      <c r="N239" s="1377"/>
    </row>
    <row r="240" spans="2:14" hidden="1">
      <c r="B240" s="1377"/>
      <c r="C240" s="1377"/>
      <c r="D240" s="1377"/>
      <c r="E240" s="1377"/>
      <c r="F240" s="1377"/>
      <c r="G240" s="1377"/>
      <c r="H240" s="1377"/>
      <c r="I240" s="1377"/>
      <c r="J240" s="1377"/>
      <c r="K240" s="1377"/>
      <c r="L240" s="1377"/>
      <c r="M240" s="1377"/>
      <c r="N240" s="1377"/>
    </row>
    <row r="241" spans="2:14" hidden="1">
      <c r="B241" s="1377"/>
      <c r="C241" s="1377"/>
      <c r="D241" s="1377"/>
      <c r="E241" s="1377"/>
      <c r="F241" s="1377"/>
      <c r="G241" s="1377"/>
      <c r="H241" s="1377"/>
      <c r="I241" s="1377"/>
      <c r="J241" s="1377"/>
      <c r="K241" s="1377"/>
      <c r="L241" s="1377"/>
      <c r="M241" s="1377"/>
      <c r="N241" s="1377"/>
    </row>
    <row r="242" spans="2:14" hidden="1">
      <c r="B242" s="1377"/>
      <c r="C242" s="1377"/>
      <c r="D242" s="1377"/>
      <c r="E242" s="1377"/>
      <c r="F242" s="1377"/>
      <c r="G242" s="1377"/>
      <c r="H242" s="1377"/>
      <c r="I242" s="1377"/>
      <c r="J242" s="1377"/>
      <c r="K242" s="1377"/>
      <c r="L242" s="1377"/>
      <c r="M242" s="1377"/>
      <c r="N242" s="1377"/>
    </row>
    <row r="243" spans="2:14" hidden="1">
      <c r="B243" s="1377"/>
      <c r="C243" s="1377"/>
      <c r="D243" s="1377"/>
      <c r="E243" s="1377"/>
      <c r="F243" s="1377"/>
      <c r="G243" s="1377"/>
      <c r="H243" s="1377"/>
      <c r="I243" s="1377"/>
      <c r="J243" s="1377"/>
      <c r="K243" s="1377"/>
      <c r="L243" s="1377"/>
      <c r="M243" s="1377"/>
      <c r="N243" s="1377"/>
    </row>
    <row r="244" spans="2:14" hidden="1">
      <c r="B244" s="1377"/>
      <c r="C244" s="1377"/>
      <c r="D244" s="1377"/>
      <c r="E244" s="1377"/>
      <c r="F244" s="1377"/>
      <c r="G244" s="1377"/>
      <c r="H244" s="1377"/>
      <c r="I244" s="1377"/>
      <c r="J244" s="1377"/>
      <c r="K244" s="1377"/>
      <c r="L244" s="1377"/>
      <c r="M244" s="1377"/>
      <c r="N244" s="1377"/>
    </row>
    <row r="245" spans="2:14">
      <c r="B245" s="1377"/>
      <c r="C245" s="1377"/>
      <c r="D245" s="1377"/>
      <c r="E245" s="1377"/>
      <c r="F245" s="1377"/>
      <c r="G245" s="1377"/>
      <c r="H245" s="1377"/>
      <c r="I245" s="1377"/>
      <c r="J245" s="1377"/>
      <c r="K245" s="1377"/>
      <c r="L245" s="1377"/>
      <c r="M245" s="1377"/>
      <c r="N245" s="1377"/>
    </row>
    <row r="246" spans="2:14"/>
    <row r="247" spans="2:14"/>
    <row r="248" spans="2:14"/>
    <row r="249" spans="2:14"/>
    <row r="250" spans="2:14"/>
    <row r="251" spans="2:14"/>
    <row r="252" spans="2:14"/>
    <row r="253" spans="2:14"/>
    <row r="254" spans="2:14"/>
    <row r="255" spans="2:14"/>
    <row r="256" spans="2:14"/>
    <row r="257"/>
    <row r="258"/>
    <row r="259"/>
  </sheetData>
  <sheetProtection algorithmName="SHA-512" hashValue="ZgDrnv7wahjO0NfndV4hm72uOm6oeNmUEosfJ4ZQEDgbaAIdL9QZB+tRCYZJm7jUqEYbTuo2d6VIlcQKoxJE2A==" saltValue="VDYMTu5824PvYzhnX5PIGg==" spinCount="100000" sheet="1" objects="1" scenarios="1"/>
  <customSheetViews>
    <customSheetView guid="{A4F761B4-88B3-4464-91E0-1CCCDBCD1B8B}" scale="75" showGridLines="0" fitToPage="1" showRuler="0">
      <selection activeCell="B7" sqref="B7:R7"/>
      <rowBreaks count="4" manualBreakCount="4">
        <brk id="4" min="1" max="17" man="1"/>
        <brk id="64" min="1" max="17" man="1"/>
        <brk id="78" min="1" max="17" man="1"/>
        <brk id="97" min="1" max="17" man="1"/>
      </rowBreaks>
      <pageMargins left="0.75" right="0.75" top="1" bottom="1" header="0.5" footer="0.5"/>
      <printOptions horizontalCentered="1"/>
      <pageSetup scale="58" fitToHeight="0" orientation="portrait" r:id="rId1"/>
      <headerFooter alignWithMargins="0"/>
    </customSheetView>
    <customSheetView guid="{BE27EBD8-ED47-4D05-A191-2893A8781B62}" fitToPage="1" hiddenRows="1" hiddenColumns="1" topLeftCell="B2">
      <rowBreaks count="6" manualBreakCount="6">
        <brk id="6" min="1" max="17" man="1"/>
        <brk id="29" min="1" max="17" man="1"/>
        <brk id="56" min="1" max="17" man="1"/>
        <brk id="78" min="1" max="17" man="1"/>
        <brk id="104" min="1" max="17" man="1"/>
        <brk id="132" min="1" max="17" man="1"/>
      </rowBreaks>
      <pageMargins left="0.75" right="0.75" top="1" bottom="1" header="0.5" footer="0.5"/>
      <printOptions horizontalCentered="1"/>
      <pageSetup scale="55" fitToHeight="0" orientation="portrait" r:id="rId2"/>
      <headerFooter alignWithMargins="0"/>
    </customSheetView>
  </customSheetViews>
  <mergeCells count="132">
    <mergeCell ref="B7:R7"/>
    <mergeCell ref="B8:R8"/>
    <mergeCell ref="B9:R9"/>
    <mergeCell ref="B10:R10"/>
    <mergeCell ref="B144:R144"/>
    <mergeCell ref="B145:R145"/>
    <mergeCell ref="B146:R146"/>
    <mergeCell ref="B147:R147"/>
    <mergeCell ref="B39:R39"/>
    <mergeCell ref="B81:R81"/>
    <mergeCell ref="B79:R79"/>
    <mergeCell ref="B32:R32"/>
    <mergeCell ref="B53:R53"/>
    <mergeCell ref="B69:R69"/>
    <mergeCell ref="B60:R60"/>
    <mergeCell ref="B30:R30"/>
    <mergeCell ref="B17:R17"/>
    <mergeCell ref="B64:R64"/>
    <mergeCell ref="B59:R59"/>
    <mergeCell ref="B62:R62"/>
    <mergeCell ref="D130:Q130"/>
    <mergeCell ref="D120:Q120"/>
    <mergeCell ref="B139:R139"/>
    <mergeCell ref="B140:R140"/>
    <mergeCell ref="B72:R72"/>
    <mergeCell ref="B65:R65"/>
    <mergeCell ref="B68:R68"/>
    <mergeCell ref="C112:Q112"/>
    <mergeCell ref="C114:Q114"/>
    <mergeCell ref="D121:Q121"/>
    <mergeCell ref="D122:Q122"/>
    <mergeCell ref="D129:Q129"/>
    <mergeCell ref="D128:Q128"/>
    <mergeCell ref="C97:Q97"/>
    <mergeCell ref="D127:Q127"/>
    <mergeCell ref="D116:Q116"/>
    <mergeCell ref="D115:Q115"/>
    <mergeCell ref="B78:R78"/>
    <mergeCell ref="C133:Q133"/>
    <mergeCell ref="D123:Q123"/>
    <mergeCell ref="D124:Q124"/>
    <mergeCell ref="D125:Q125"/>
    <mergeCell ref="D126:Q126"/>
    <mergeCell ref="C110:Q110"/>
    <mergeCell ref="C111:Q111"/>
    <mergeCell ref="D119:Q119"/>
    <mergeCell ref="C113:Q113"/>
    <mergeCell ref="B153:R153"/>
    <mergeCell ref="C137:Q137"/>
    <mergeCell ref="C85:F85"/>
    <mergeCell ref="C106:Q106"/>
    <mergeCell ref="C107:Q107"/>
    <mergeCell ref="B67:R67"/>
    <mergeCell ref="B71:R71"/>
    <mergeCell ref="C104:Q104"/>
    <mergeCell ref="B84:R84"/>
    <mergeCell ref="B80:R80"/>
    <mergeCell ref="B152:R152"/>
    <mergeCell ref="D117:Q117"/>
    <mergeCell ref="D118:Q118"/>
    <mergeCell ref="B141:R141"/>
    <mergeCell ref="B148:R148"/>
    <mergeCell ref="B149:R149"/>
    <mergeCell ref="B150:R150"/>
    <mergeCell ref="B151:R151"/>
    <mergeCell ref="C103:Q103"/>
    <mergeCell ref="C135:Q135"/>
    <mergeCell ref="B143:R143"/>
    <mergeCell ref="B142:R142"/>
    <mergeCell ref="C108:Q108"/>
    <mergeCell ref="C109:Q109"/>
    <mergeCell ref="B166:F166"/>
    <mergeCell ref="B170:F170"/>
    <mergeCell ref="B161:Q161"/>
    <mergeCell ref="B162:F162"/>
    <mergeCell ref="B164:F164"/>
    <mergeCell ref="B168:F168"/>
    <mergeCell ref="B160:R160"/>
    <mergeCell ref="B154:R154"/>
    <mergeCell ref="B155:R155"/>
    <mergeCell ref="B158:R158"/>
    <mergeCell ref="B159:R159"/>
    <mergeCell ref="B156:R156"/>
    <mergeCell ref="B157:R157"/>
    <mergeCell ref="B1:R1"/>
    <mergeCell ref="B11:R11"/>
    <mergeCell ref="B45:R45"/>
    <mergeCell ref="B5:R5"/>
    <mergeCell ref="B6:R6"/>
    <mergeCell ref="B51:R51"/>
    <mergeCell ref="B50:R50"/>
    <mergeCell ref="B44:R44"/>
    <mergeCell ref="B82:R82"/>
    <mergeCell ref="B36:R36"/>
    <mergeCell ref="B40:R40"/>
    <mergeCell ref="B24:R24"/>
    <mergeCell ref="B25:R25"/>
    <mergeCell ref="B41:R41"/>
    <mergeCell ref="B2:R2"/>
    <mergeCell ref="B20:R20"/>
    <mergeCell ref="B21:R21"/>
    <mergeCell ref="B12:R12"/>
    <mergeCell ref="B56:R56"/>
    <mergeCell ref="B14:R14"/>
    <mergeCell ref="B15:R15"/>
    <mergeCell ref="B16:R16"/>
    <mergeCell ref="B48:R48"/>
    <mergeCell ref="B3:R3"/>
    <mergeCell ref="B22:R22"/>
    <mergeCell ref="B31:R31"/>
    <mergeCell ref="B47:R47"/>
    <mergeCell ref="B28:R28"/>
    <mergeCell ref="B38:R38"/>
    <mergeCell ref="C134:Q134"/>
    <mergeCell ref="C136:Q136"/>
    <mergeCell ref="B29:R29"/>
    <mergeCell ref="B54:R54"/>
    <mergeCell ref="B63:R63"/>
    <mergeCell ref="B42:R42"/>
    <mergeCell ref="B33:R33"/>
    <mergeCell ref="B58:R58"/>
    <mergeCell ref="B49:R49"/>
    <mergeCell ref="B55:R55"/>
    <mergeCell ref="B46:R46"/>
    <mergeCell ref="B83:R83"/>
    <mergeCell ref="B70:R70"/>
    <mergeCell ref="B76:R76"/>
    <mergeCell ref="B74:R74"/>
    <mergeCell ref="B73:R73"/>
    <mergeCell ref="C105:Q105"/>
    <mergeCell ref="B27:R27"/>
    <mergeCell ref="C132:Q132"/>
  </mergeCells>
  <phoneticPr fontId="0" type="noConversion"/>
  <hyperlinks>
    <hyperlink ref="S164" r:id="rId3" display="MOH Forms"/>
    <hyperlink ref="S168" r:id="rId4" display="January 21, 2000"/>
    <hyperlink ref="B166" r:id="rId5" display="January 21, 2000"/>
    <hyperlink ref="B168" r:id="rId6" display="MOH Insurance Requirements"/>
    <hyperlink ref="B170" r:id="rId7" display="MOH Forms"/>
    <hyperlink ref="B170:F170" r:id="rId8" display="MOHCD Operating Fees Policy"/>
    <hyperlink ref="B166:F166" r:id="rId9" display="MOHCD Residual Receipt Policy"/>
    <hyperlink ref="B162:F162" r:id="rId10" display="MOHCD Forms Page at SFGOV.ORG"/>
    <hyperlink ref="B164:F164" r:id="rId11" display="Program Income Overview"/>
    <hyperlink ref="B168:F168" r:id="rId12" display="MOHCD Insurance Requirements Policy "/>
    <hyperlink ref="C165" r:id="rId13"/>
    <hyperlink ref="B142:R142" r:id="rId14" display="Gender, Sex at Birth, and Sexual Orientation/Sexual Identity: on June 30, 2017, MOHCD published and distributed a Notice regarding new requirements to collect this demographic data. Click this cell to review the Notice if you have any questions about this"/>
  </hyperlinks>
  <printOptions horizontalCentered="1"/>
  <pageMargins left="0.75" right="0.75" top="1" bottom="1" header="0.5" footer="0.5"/>
  <pageSetup scale="55" fitToHeight="0" orientation="portrait" r:id="rId15"/>
  <headerFooter alignWithMargins="0"/>
  <rowBreaks count="4" manualBreakCount="4">
    <brk id="30" max="17" man="1"/>
    <brk id="57" max="17" man="1"/>
    <brk id="82" max="17" man="1"/>
    <brk id="143"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AA190"/>
  <sheetViews>
    <sheetView showGridLines="0" topLeftCell="E7" zoomScale="90" zoomScaleNormal="90" workbookViewId="0">
      <selection activeCell="E21" sqref="E21:P37"/>
    </sheetView>
  </sheetViews>
  <sheetFormatPr defaultColWidth="0" defaultRowHeight="17.399999999999999" zeroHeight="1"/>
  <cols>
    <col min="1" max="2" width="9.109375" style="89" hidden="1" customWidth="1"/>
    <col min="3" max="3" width="11.88671875" style="89" hidden="1" customWidth="1"/>
    <col min="4" max="4" width="9.109375" style="89" hidden="1" customWidth="1"/>
    <col min="5" max="6" width="9.109375" style="89" customWidth="1"/>
    <col min="7" max="7" width="11.5546875" style="89" customWidth="1"/>
    <col min="8" max="8" width="12.5546875" style="89" customWidth="1"/>
    <col min="9" max="9" width="15.33203125" style="89" customWidth="1"/>
    <col min="10" max="10" width="11.109375" style="89" customWidth="1"/>
    <col min="11" max="16" width="9.109375" style="89" customWidth="1"/>
    <col min="17" max="17" width="4.44140625" style="89" customWidth="1"/>
    <col min="18" max="18" width="9.109375" style="89" hidden="1" customWidth="1"/>
    <col min="19" max="20" width="11.88671875" style="89" hidden="1" customWidth="1"/>
    <col min="21" max="21" width="9.109375" style="89" hidden="1" customWidth="1"/>
    <col min="22" max="22" width="18.33203125" style="89" hidden="1" customWidth="1"/>
    <col min="23" max="16384" width="9.109375" style="89" hidden="1"/>
  </cols>
  <sheetData>
    <row r="1" spans="2:23" ht="226.5" hidden="1" customHeight="1">
      <c r="E1" s="2166"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F1" s="2166"/>
      <c r="G1" s="2166"/>
      <c r="H1" s="2166"/>
      <c r="I1" s="2166"/>
      <c r="J1" s="2166"/>
      <c r="K1" s="2166"/>
      <c r="L1" s="2166"/>
      <c r="M1" s="2166"/>
      <c r="N1" s="2166"/>
      <c r="O1" s="2166"/>
      <c r="P1" s="2166"/>
      <c r="Q1" s="1213"/>
    </row>
    <row r="2" spans="2:23" ht="124.8" hidden="1">
      <c r="B2" s="205" t="s">
        <v>295</v>
      </c>
      <c r="C2" s="206"/>
      <c r="D2" s="207"/>
      <c r="E2" s="216" t="s">
        <v>104</v>
      </c>
      <c r="F2" s="215" t="s">
        <v>168</v>
      </c>
      <c r="G2" s="216" t="s">
        <v>169</v>
      </c>
      <c r="H2" s="216" t="s">
        <v>170</v>
      </c>
      <c r="I2" s="216" t="s">
        <v>26</v>
      </c>
      <c r="J2" s="216" t="s">
        <v>172</v>
      </c>
      <c r="K2" s="216" t="s">
        <v>173</v>
      </c>
      <c r="L2" s="216" t="s">
        <v>171</v>
      </c>
    </row>
    <row r="3" spans="2:23" hidden="1">
      <c r="B3" s="208"/>
      <c r="C3" s="208"/>
      <c r="D3" s="209"/>
      <c r="E3" s="210">
        <f>$E$21</f>
        <v>0</v>
      </c>
      <c r="F3" s="210">
        <f>$E$180</f>
        <v>0</v>
      </c>
      <c r="G3" s="210">
        <f>$E$133</f>
        <v>0</v>
      </c>
      <c r="H3" s="210">
        <f>$E$98</f>
        <v>0</v>
      </c>
      <c r="I3" s="210">
        <f>$E$115</f>
        <v>0</v>
      </c>
      <c r="J3" s="210">
        <f>$E$81</f>
        <v>0</v>
      </c>
      <c r="K3" s="210" t="e">
        <f>#REF!</f>
        <v>#REF!</v>
      </c>
      <c r="L3" s="210" t="e">
        <f>#REF!</f>
        <v>#REF!</v>
      </c>
    </row>
    <row r="4" spans="2:23" hidden="1"/>
    <row r="5" spans="2:23" hidden="1"/>
    <row r="6" spans="2:23" hidden="1"/>
    <row r="7" spans="2:23" ht="21">
      <c r="E7" s="731" t="str">
        <f>'Completeness Tracker'!$O$23&amp;" "&amp;'Completeness Tracker'!$O$35&amp;" - "&amp;'Completeness Tracker'!$O$24</f>
        <v xml:space="preserve">Annual Monitoring Report - Narrative - Reporting Year 2018 - </v>
      </c>
      <c r="F7" s="732"/>
      <c r="G7" s="732"/>
      <c r="H7" s="732"/>
      <c r="I7" s="732"/>
      <c r="J7" s="732"/>
      <c r="K7" s="732"/>
      <c r="L7" s="732"/>
      <c r="M7" s="732"/>
      <c r="N7" s="732"/>
      <c r="O7" s="732"/>
      <c r="P7" s="733"/>
      <c r="Q7" s="1255"/>
      <c r="R7" s="701" t="s">
        <v>802</v>
      </c>
      <c r="S7" s="701" t="s">
        <v>801</v>
      </c>
    </row>
    <row r="8" spans="2:23" ht="21">
      <c r="E8" s="734" t="str">
        <f>'Completeness Tracker'!$O$39</f>
        <v>Mayor's Office of Housing &amp; Community Development</v>
      </c>
      <c r="F8" s="735"/>
      <c r="G8" s="735"/>
      <c r="H8" s="735"/>
      <c r="I8" s="735"/>
      <c r="J8" s="735"/>
      <c r="K8" s="735"/>
      <c r="L8" s="735"/>
      <c r="M8" s="735"/>
      <c r="N8" s="735"/>
      <c r="O8" s="735"/>
      <c r="P8" s="736"/>
      <c r="Q8" s="1255"/>
      <c r="R8" s="89">
        <v>6</v>
      </c>
      <c r="S8" s="179">
        <v>2</v>
      </c>
      <c r="T8" s="180" t="str">
        <f>IF(E42&lt;&gt;"","OK",IF(U8="To Be Determined","To Be Determined",IF(U8="required", "incomplete", "OK")))</f>
        <v>To Be Determined</v>
      </c>
      <c r="U8" s="179" t="str">
        <f>IF(V8="To Be Determined","To Be Determined",IF(V8&gt;0,"required","blank ok"))</f>
        <v>To Be Determined</v>
      </c>
      <c r="V8" s="183" t="str">
        <f>IF(OR(' 1A.Prop&amp;Residents'!$G$57="",' 1A.Prop&amp;Residents'!$G$58=""),"To Be Determined",SUM(' 1A.Prop&amp;Residents'!$G$57:$G$58))</f>
        <v>To Be Determined</v>
      </c>
      <c r="W8"/>
    </row>
    <row r="9" spans="2:23">
      <c r="Q9" s="688"/>
      <c r="R9" s="89">
        <v>7</v>
      </c>
      <c r="S9" s="179">
        <v>3</v>
      </c>
      <c r="T9" s="180" t="str">
        <f>IF(E81&lt;&gt;"","OK",IF(U9="To Be Determined","To Be Determined",IF(U9="required", "incomplete", "OK")))</f>
        <v>To Be Determined</v>
      </c>
      <c r="U9" s="179" t="str">
        <f>IF(V9="To Be Determined", "To Be Determined",IF(V9="Yes","required","blank ok"))</f>
        <v>To Be Determined</v>
      </c>
      <c r="V9" s="183" t="str">
        <f>IF(' 1A.Prop&amp;Residents'!$G$60="","To Be Determined",' 1A.Prop&amp;Residents'!$G$60)</f>
        <v>To Be Determined</v>
      </c>
    </row>
    <row r="10" spans="2:23">
      <c r="E10" s="14" t="s">
        <v>184</v>
      </c>
      <c r="H10" s="2184" t="str">
        <f>' 1A.Prop&amp;Residents'!$S$9</f>
        <v/>
      </c>
      <c r="I10" s="2185"/>
      <c r="J10" s="2185"/>
      <c r="K10" s="2185"/>
      <c r="L10" s="2185"/>
      <c r="Q10" s="688"/>
      <c r="R10" s="89">
        <v>4</v>
      </c>
      <c r="S10" s="179">
        <v>4</v>
      </c>
      <c r="T10" s="180" t="str">
        <f>IF(E98&lt;&gt;"","OK",IF(U10="To Be Determined","To Be Determined",IF(U10="required", "incomplete", "OK")))</f>
        <v>To Be Determined</v>
      </c>
      <c r="U10" s="179" t="str">
        <f>IF(V10="blank ok","blank ok",IF(V10="To Be Determined","To Be Determined",IF(V10&gt;30,"required","blank ok")))</f>
        <v>To Be Determined</v>
      </c>
      <c r="V10" s="182" t="str">
        <f>IF(AND(' 1A.Prop&amp;Residents'!$G$54="",' 1A.Prop&amp;Residents'!$G$38="yes"),"blank ok",IF(' 1A.Prop&amp;Residents'!$G$51="","To Be Determined",' 1A.Prop&amp;Residents'!$G$51))</f>
        <v>To Be Determined</v>
      </c>
    </row>
    <row r="11" spans="2:23">
      <c r="E11" s="2182" t="s">
        <v>244</v>
      </c>
      <c r="F11" s="2182"/>
      <c r="G11" s="2182"/>
      <c r="H11" s="2182"/>
      <c r="I11" s="2180">
        <f>' 1A.Prop&amp;Residents'!$G$12</f>
        <v>0</v>
      </c>
      <c r="J11" s="2180"/>
      <c r="Q11" s="688"/>
      <c r="R11" s="89">
        <v>5</v>
      </c>
      <c r="S11" s="179">
        <v>5</v>
      </c>
      <c r="T11" s="180" t="str">
        <f>IF(E115&lt;&gt;"","OK",IF(U11="To Be Determined","To Be Determined",IF(U11="blank ok", "OK", "incomplete")))</f>
        <v>To Be Determined</v>
      </c>
      <c r="U11" s="179" t="str">
        <f>IF(V11="To Be Determined","To Be Determined",IF(V11="yes","required","blank ok"))</f>
        <v>To Be Determined</v>
      </c>
      <c r="V11" s="285" t="str">
        <f>IF(AND(' 1A.Prop&amp;Residents'!$G$54="",' 1A.Prop&amp;Residents'!$G$38="yes"),"blank ok",IF(' 1A.Prop&amp;Residents'!$G$54="","To Be Determined",' 1A.Prop&amp;Residents'!$G$54))</f>
        <v>To Be Determined</v>
      </c>
    </row>
    <row r="12" spans="2:23">
      <c r="E12" s="2183" t="s">
        <v>243</v>
      </c>
      <c r="F12" s="2183"/>
      <c r="G12" s="2183"/>
      <c r="H12" s="2183"/>
      <c r="I12" s="2181">
        <f>' 1A.Prop&amp;Residents'!$G$13</f>
        <v>0</v>
      </c>
      <c r="J12" s="2181"/>
      <c r="Q12" s="688"/>
      <c r="R12" s="89">
        <v>3</v>
      </c>
      <c r="S12" s="179">
        <v>6</v>
      </c>
      <c r="T12" s="180" t="str">
        <f>IF(E133&lt;&gt;"","OK",IF(U12="To Be Determined","To Be Determined",IF(U12="required", "incomplete", "OK")))</f>
        <v>To Be Determined</v>
      </c>
      <c r="U12" s="179" t="str">
        <f>IF(V12="To Be Determined","To Be Determined",IF(V12&gt;0.15,"required","blank ok"))</f>
        <v>To Be Determined</v>
      </c>
      <c r="V12" s="181" t="str">
        <f>IF(H126="","To Be Determined",H126)</f>
        <v>To Be Determined</v>
      </c>
    </row>
    <row r="13" spans="2:23" ht="15" customHeight="1">
      <c r="E13" s="2169" t="s">
        <v>436</v>
      </c>
      <c r="F13" s="2169"/>
      <c r="G13" s="2169"/>
      <c r="H13" s="2169"/>
      <c r="I13" s="2169"/>
      <c r="J13" s="2169"/>
      <c r="K13" s="2169"/>
      <c r="L13" s="2169"/>
      <c r="M13" s="2169"/>
      <c r="N13" s="2169"/>
      <c r="O13" s="2169"/>
      <c r="P13" s="2169"/>
      <c r="Q13" s="1256"/>
      <c r="S13" s="795" t="s">
        <v>1107</v>
      </c>
      <c r="T13" s="180" t="str">
        <f>IF(U13="blank ok","OK",IF(U13="To Be Determined","To Be Determined",IF(AND(U13="required",ROUND($I$158,0)=ROUND($I$149,0)),"OK","incomplete")))</f>
        <v>To Be Determined</v>
      </c>
      <c r="U13" s="179" t="str">
        <f>IF(V13="To Be Determined","To Be Determined",IF(V13&gt;=$S$151,"required","blank ok"))</f>
        <v>To Be Determined</v>
      </c>
      <c r="V13" s="711" t="str">
        <f>IF(AND('2.Fiscal'!$F$70="",'2.Fiscal'!$H$70="",'2.Fiscal'!$F$73=""),"To Be Determined",SUM('2.Fiscal'!$F$70:$H$70))</f>
        <v>To Be Determined</v>
      </c>
      <c r="W13" s="711" t="s">
        <v>1232</v>
      </c>
    </row>
    <row r="14" spans="2:23" ht="18">
      <c r="E14" s="2169"/>
      <c r="F14" s="2169"/>
      <c r="G14" s="2169"/>
      <c r="H14" s="2169"/>
      <c r="I14" s="2169"/>
      <c r="J14" s="2169"/>
      <c r="K14" s="2169"/>
      <c r="L14" s="2169"/>
      <c r="M14" s="2169"/>
      <c r="N14" s="2169"/>
      <c r="O14" s="2169"/>
      <c r="P14" s="2169"/>
      <c r="Q14" s="1256"/>
      <c r="S14" s="795" t="s">
        <v>1108</v>
      </c>
      <c r="T14" s="180" t="str">
        <f>IF($I$170=$K$161,"OK",IF(U14="required","incomplete","OK"))</f>
        <v>incomplete</v>
      </c>
      <c r="U14" s="179" t="str">
        <f>IF(OR(AND(V14="To Be Determined",'2.Fiscal'!J99&gt;0),V14&lt;=$S$151),"blank ok","required")</f>
        <v>required</v>
      </c>
      <c r="V14" s="712" t="str">
        <f>IF(AND('2.Fiscal'!F98="",'2.Fiscal'!H98=""),"To Be Determined",SUM('2.Fiscal'!$F$98:$H$98))</f>
        <v>To Be Determined</v>
      </c>
    </row>
    <row r="15" spans="2:23" ht="18">
      <c r="E15" s="2169"/>
      <c r="F15" s="2169"/>
      <c r="G15" s="2169"/>
      <c r="H15" s="2169"/>
      <c r="I15" s="2169"/>
      <c r="J15" s="2169"/>
      <c r="K15" s="2169"/>
      <c r="L15" s="2169"/>
      <c r="M15" s="2169"/>
      <c r="N15" s="2169"/>
      <c r="O15" s="2169"/>
      <c r="P15" s="2169"/>
      <c r="Q15" s="1256"/>
      <c r="S15" s="795">
        <v>7</v>
      </c>
      <c r="T15" s="180" t="str">
        <f>IF(AND(T13="OK",T14="OK"),"OK",IF(OR(T13="To Be Determined",T14="To Be Determined"),"To Be Determined","incomplete"))</f>
        <v>To Be Determined</v>
      </c>
    </row>
    <row r="16" spans="2:23" ht="18">
      <c r="E16" s="2169"/>
      <c r="F16" s="2169"/>
      <c r="G16" s="2169"/>
      <c r="H16" s="2169"/>
      <c r="I16" s="2169"/>
      <c r="J16" s="2169"/>
      <c r="K16" s="2169"/>
      <c r="L16" s="2169"/>
      <c r="M16" s="2169"/>
      <c r="N16" s="2169"/>
      <c r="O16" s="2169"/>
      <c r="P16" s="2169"/>
      <c r="Q16" s="1256"/>
      <c r="R16">
        <v>2</v>
      </c>
      <c r="S16" s="179">
        <v>8</v>
      </c>
      <c r="T16" s="180" t="str">
        <f>IF(E180&lt;&gt;"","OK",IF(U16="To Be Determined","To Be Determined",IF(U16="required", "incomplete", "OK")))</f>
        <v>To Be Determined</v>
      </c>
      <c r="U16" s="179" t="str">
        <f>IF(AND(V16=0,'2.Fiscal'!$F$104=0),"To Be Determined",IF(V16&lt;0,"required","blank ok"))</f>
        <v>To Be Determined</v>
      </c>
      <c r="V16" s="700">
        <f>'2.Fiscal'!J137</f>
        <v>0</v>
      </c>
    </row>
    <row r="17" spans="1:22" ht="18">
      <c r="E17" s="2169"/>
      <c r="F17" s="2169"/>
      <c r="G17" s="2169"/>
      <c r="H17" s="2169"/>
      <c r="I17" s="2169"/>
      <c r="J17" s="2169"/>
      <c r="K17" s="2169"/>
      <c r="L17" s="2169"/>
      <c r="M17" s="2169"/>
      <c r="N17" s="2169"/>
      <c r="O17" s="2169"/>
      <c r="P17" s="2169"/>
      <c r="Q17" s="1256"/>
    </row>
    <row r="18" spans="1:22" ht="51.75" customHeight="1">
      <c r="E18" s="2169"/>
      <c r="F18" s="2169"/>
      <c r="G18" s="2169"/>
      <c r="H18" s="2169"/>
      <c r="I18" s="2169"/>
      <c r="J18" s="2169"/>
      <c r="K18" s="2169"/>
      <c r="L18" s="2169"/>
      <c r="M18" s="2169"/>
      <c r="N18" s="2169"/>
      <c r="O18" s="2169"/>
      <c r="P18" s="2169"/>
      <c r="Q18" s="1256"/>
    </row>
    <row r="19" spans="1:22" customFormat="1" ht="51.75" customHeight="1">
      <c r="A19" s="89"/>
      <c r="B19" s="89"/>
      <c r="C19" s="89"/>
      <c r="D19" s="89"/>
      <c r="E19" s="97" t="s">
        <v>1085</v>
      </c>
      <c r="F19" s="218"/>
      <c r="G19" s="218"/>
      <c r="H19" s="218"/>
      <c r="I19" s="218"/>
      <c r="J19" s="218"/>
      <c r="K19" s="218"/>
      <c r="L19" s="218"/>
      <c r="M19" s="218"/>
      <c r="N19" s="218"/>
      <c r="O19" s="218"/>
      <c r="P19" s="218"/>
      <c r="Q19" s="1257"/>
      <c r="R19" s="89"/>
      <c r="S19" s="89"/>
      <c r="T19" s="89"/>
      <c r="U19" s="89"/>
      <c r="V19" s="89"/>
    </row>
    <row r="20" spans="1:22" customFormat="1" ht="102" customHeight="1">
      <c r="A20" s="89"/>
      <c r="B20" s="89"/>
      <c r="C20" s="89"/>
      <c r="D20" s="89"/>
      <c r="E20" s="2179" t="s">
        <v>2235</v>
      </c>
      <c r="F20" s="2179"/>
      <c r="G20" s="2179"/>
      <c r="H20" s="2179"/>
      <c r="I20" s="2179"/>
      <c r="J20" s="2179"/>
      <c r="K20" s="2179"/>
      <c r="L20" s="2179"/>
      <c r="M20" s="2179"/>
      <c r="N20" s="2179"/>
      <c r="O20" s="2179"/>
      <c r="P20" s="2179"/>
      <c r="Q20" s="1251"/>
      <c r="R20" s="89"/>
      <c r="S20" s="89"/>
      <c r="T20" s="89"/>
      <c r="U20" s="89"/>
      <c r="V20" s="89"/>
    </row>
    <row r="21" spans="1:22" customFormat="1" ht="18.899999999999999" customHeight="1">
      <c r="E21" s="2170"/>
      <c r="F21" s="2171"/>
      <c r="G21" s="2171"/>
      <c r="H21" s="2171"/>
      <c r="I21" s="2171"/>
      <c r="J21" s="2171"/>
      <c r="K21" s="2171"/>
      <c r="L21" s="2171"/>
      <c r="M21" s="2171"/>
      <c r="N21" s="2171"/>
      <c r="O21" s="2171"/>
      <c r="P21" s="2172"/>
      <c r="Q21" s="1218"/>
    </row>
    <row r="22" spans="1:22" customFormat="1" ht="18.899999999999999" customHeight="1">
      <c r="E22" s="2173"/>
      <c r="F22" s="2174"/>
      <c r="G22" s="2174"/>
      <c r="H22" s="2174"/>
      <c r="I22" s="2174"/>
      <c r="J22" s="2174"/>
      <c r="K22" s="2174"/>
      <c r="L22" s="2174"/>
      <c r="M22" s="2174"/>
      <c r="N22" s="2174"/>
      <c r="O22" s="2174"/>
      <c r="P22" s="2175"/>
      <c r="Q22" s="1218"/>
    </row>
    <row r="23" spans="1:22" customFormat="1" ht="18.899999999999999" customHeight="1">
      <c r="E23" s="2173"/>
      <c r="F23" s="2174"/>
      <c r="G23" s="2174"/>
      <c r="H23" s="2174"/>
      <c r="I23" s="2174"/>
      <c r="J23" s="2174"/>
      <c r="K23" s="2174"/>
      <c r="L23" s="2174"/>
      <c r="M23" s="2174"/>
      <c r="N23" s="2174"/>
      <c r="O23" s="2174"/>
      <c r="P23" s="2175"/>
      <c r="Q23" s="1218"/>
    </row>
    <row r="24" spans="1:22" customFormat="1" ht="18.899999999999999" customHeight="1">
      <c r="E24" s="2173"/>
      <c r="F24" s="2174"/>
      <c r="G24" s="2174"/>
      <c r="H24" s="2174"/>
      <c r="I24" s="2174"/>
      <c r="J24" s="2174"/>
      <c r="K24" s="2174"/>
      <c r="L24" s="2174"/>
      <c r="M24" s="2174"/>
      <c r="N24" s="2174"/>
      <c r="O24" s="2174"/>
      <c r="P24" s="2175"/>
      <c r="Q24" s="1218"/>
    </row>
    <row r="25" spans="1:22" customFormat="1" ht="18.899999999999999" customHeight="1">
      <c r="E25" s="2173"/>
      <c r="F25" s="2174"/>
      <c r="G25" s="2174"/>
      <c r="H25" s="2174"/>
      <c r="I25" s="2174"/>
      <c r="J25" s="2174"/>
      <c r="K25" s="2174"/>
      <c r="L25" s="2174"/>
      <c r="M25" s="2174"/>
      <c r="N25" s="2174"/>
      <c r="O25" s="2174"/>
      <c r="P25" s="2175"/>
      <c r="Q25" s="1218"/>
    </row>
    <row r="26" spans="1:22" customFormat="1" ht="18.899999999999999" customHeight="1">
      <c r="E26" s="2173"/>
      <c r="F26" s="2174"/>
      <c r="G26" s="2174"/>
      <c r="H26" s="2174"/>
      <c r="I26" s="2174"/>
      <c r="J26" s="2174"/>
      <c r="K26" s="2174"/>
      <c r="L26" s="2174"/>
      <c r="M26" s="2174"/>
      <c r="N26" s="2174"/>
      <c r="O26" s="2174"/>
      <c r="P26" s="2175"/>
      <c r="Q26" s="1218"/>
    </row>
    <row r="27" spans="1:22" customFormat="1" ht="18.899999999999999" customHeight="1">
      <c r="E27" s="2173"/>
      <c r="F27" s="2174"/>
      <c r="G27" s="2174"/>
      <c r="H27" s="2174"/>
      <c r="I27" s="2174"/>
      <c r="J27" s="2174"/>
      <c r="K27" s="2174"/>
      <c r="L27" s="2174"/>
      <c r="M27" s="2174"/>
      <c r="N27" s="2174"/>
      <c r="O27" s="2174"/>
      <c r="P27" s="2175"/>
      <c r="Q27" s="1218"/>
    </row>
    <row r="28" spans="1:22" customFormat="1" ht="18.899999999999999" customHeight="1">
      <c r="E28" s="2173"/>
      <c r="F28" s="2174"/>
      <c r="G28" s="2174"/>
      <c r="H28" s="2174"/>
      <c r="I28" s="2174"/>
      <c r="J28" s="2174"/>
      <c r="K28" s="2174"/>
      <c r="L28" s="2174"/>
      <c r="M28" s="2174"/>
      <c r="N28" s="2174"/>
      <c r="O28" s="2174"/>
      <c r="P28" s="2175"/>
      <c r="Q28" s="1218"/>
    </row>
    <row r="29" spans="1:22" customFormat="1" ht="18.899999999999999" customHeight="1">
      <c r="E29" s="2173"/>
      <c r="F29" s="2174"/>
      <c r="G29" s="2174"/>
      <c r="H29" s="2174"/>
      <c r="I29" s="2174"/>
      <c r="J29" s="2174"/>
      <c r="K29" s="2174"/>
      <c r="L29" s="2174"/>
      <c r="M29" s="2174"/>
      <c r="N29" s="2174"/>
      <c r="O29" s="2174"/>
      <c r="P29" s="2175"/>
      <c r="Q29" s="1218"/>
    </row>
    <row r="30" spans="1:22" customFormat="1" ht="18.899999999999999" customHeight="1">
      <c r="E30" s="2173"/>
      <c r="F30" s="2174"/>
      <c r="G30" s="2174"/>
      <c r="H30" s="2174"/>
      <c r="I30" s="2174"/>
      <c r="J30" s="2174"/>
      <c r="K30" s="2174"/>
      <c r="L30" s="2174"/>
      <c r="M30" s="2174"/>
      <c r="N30" s="2174"/>
      <c r="O30" s="2174"/>
      <c r="P30" s="2175"/>
      <c r="Q30" s="1218"/>
    </row>
    <row r="31" spans="1:22" customFormat="1" ht="18.899999999999999" customHeight="1">
      <c r="E31" s="2173"/>
      <c r="F31" s="2174"/>
      <c r="G31" s="2174"/>
      <c r="H31" s="2174"/>
      <c r="I31" s="2174"/>
      <c r="J31" s="2174"/>
      <c r="K31" s="2174"/>
      <c r="L31" s="2174"/>
      <c r="M31" s="2174"/>
      <c r="N31" s="2174"/>
      <c r="O31" s="2174"/>
      <c r="P31" s="2175"/>
      <c r="Q31" s="1218"/>
    </row>
    <row r="32" spans="1:22" customFormat="1" ht="18.899999999999999" customHeight="1">
      <c r="E32" s="2173"/>
      <c r="F32" s="2174"/>
      <c r="G32" s="2174"/>
      <c r="H32" s="2174"/>
      <c r="I32" s="2174"/>
      <c r="J32" s="2174"/>
      <c r="K32" s="2174"/>
      <c r="L32" s="2174"/>
      <c r="M32" s="2174"/>
      <c r="N32" s="2174"/>
      <c r="O32" s="2174"/>
      <c r="P32" s="2175"/>
      <c r="Q32" s="1218"/>
    </row>
    <row r="33" spans="1:27" customFormat="1" ht="18.899999999999999" customHeight="1">
      <c r="E33" s="2173"/>
      <c r="F33" s="2174"/>
      <c r="G33" s="2174"/>
      <c r="H33" s="2174"/>
      <c r="I33" s="2174"/>
      <c r="J33" s="2174"/>
      <c r="K33" s="2174"/>
      <c r="L33" s="2174"/>
      <c r="M33" s="2174"/>
      <c r="N33" s="2174"/>
      <c r="O33" s="2174"/>
      <c r="P33" s="2175"/>
      <c r="Q33" s="1218"/>
    </row>
    <row r="34" spans="1:27" customFormat="1" ht="18.899999999999999" customHeight="1">
      <c r="E34" s="2173"/>
      <c r="F34" s="2174"/>
      <c r="G34" s="2174"/>
      <c r="H34" s="2174"/>
      <c r="I34" s="2174"/>
      <c r="J34" s="2174"/>
      <c r="K34" s="2174"/>
      <c r="L34" s="2174"/>
      <c r="M34" s="2174"/>
      <c r="N34" s="2174"/>
      <c r="O34" s="2174"/>
      <c r="P34" s="2175"/>
      <c r="Q34" s="1218"/>
    </row>
    <row r="35" spans="1:27" customFormat="1" ht="18.899999999999999" customHeight="1">
      <c r="E35" s="2173"/>
      <c r="F35" s="2174"/>
      <c r="G35" s="2174"/>
      <c r="H35" s="2174"/>
      <c r="I35" s="2174"/>
      <c r="J35" s="2174"/>
      <c r="K35" s="2174"/>
      <c r="L35" s="2174"/>
      <c r="M35" s="2174"/>
      <c r="N35" s="2174"/>
      <c r="O35" s="2174"/>
      <c r="P35" s="2175"/>
      <c r="Q35" s="1218"/>
    </row>
    <row r="36" spans="1:27" customFormat="1" ht="18.899999999999999" customHeight="1">
      <c r="E36" s="2173"/>
      <c r="F36" s="2174"/>
      <c r="G36" s="2174"/>
      <c r="H36" s="2174"/>
      <c r="I36" s="2174"/>
      <c r="J36" s="2174"/>
      <c r="K36" s="2174"/>
      <c r="L36" s="2174"/>
      <c r="M36" s="2174"/>
      <c r="N36" s="2174"/>
      <c r="O36" s="2174"/>
      <c r="P36" s="2175"/>
      <c r="Q36" s="1218"/>
    </row>
    <row r="37" spans="1:27" customFormat="1" ht="18.899999999999999" customHeight="1">
      <c r="E37" s="2176"/>
      <c r="F37" s="2177"/>
      <c r="G37" s="2177"/>
      <c r="H37" s="2177"/>
      <c r="I37" s="2177"/>
      <c r="J37" s="2177"/>
      <c r="K37" s="2177"/>
      <c r="L37" s="2177"/>
      <c r="M37" s="2177"/>
      <c r="N37" s="2177"/>
      <c r="O37" s="2177"/>
      <c r="P37" s="2178"/>
      <c r="Q37" s="1218"/>
    </row>
    <row r="38" spans="1:27" s="96" customFormat="1" ht="27.75" customHeight="1">
      <c r="E38" s="97" t="s">
        <v>1086</v>
      </c>
      <c r="Q38" s="1215"/>
    </row>
    <row r="39" spans="1:27" ht="54" customHeight="1">
      <c r="E39" s="2167" t="s">
        <v>1087</v>
      </c>
      <c r="F39" s="2168"/>
      <c r="G39" s="2168"/>
      <c r="H39" s="2168"/>
      <c r="I39" s="2168"/>
      <c r="J39" s="2168"/>
      <c r="K39" s="2168"/>
      <c r="L39" s="2168"/>
      <c r="M39" s="2168"/>
      <c r="N39" s="2168"/>
      <c r="O39" s="2168"/>
      <c r="P39" s="2168"/>
      <c r="Q39" s="1220"/>
    </row>
    <row r="40" spans="1:27">
      <c r="E40" s="90"/>
    </row>
    <row r="41" spans="1:27" ht="39.9" customHeight="1">
      <c r="A41" s="202"/>
      <c r="B41" s="203" t="s">
        <v>267</v>
      </c>
      <c r="C41" s="203" t="s">
        <v>266</v>
      </c>
      <c r="D41" s="204" t="s">
        <v>294</v>
      </c>
      <c r="E41" s="2157" t="s">
        <v>177</v>
      </c>
      <c r="F41" s="2157"/>
      <c r="G41" s="2151" t="s">
        <v>178</v>
      </c>
      <c r="H41" s="2152"/>
      <c r="I41" s="2151" t="s">
        <v>179</v>
      </c>
      <c r="J41" s="2152"/>
      <c r="K41" s="2157" t="s">
        <v>106</v>
      </c>
      <c r="L41" s="2157"/>
      <c r="M41" s="2157"/>
      <c r="N41" s="2157"/>
      <c r="O41" s="2157" t="s">
        <v>180</v>
      </c>
      <c r="P41" s="2157"/>
      <c r="Q41" s="1372"/>
      <c r="R41" s="2163" t="s">
        <v>182</v>
      </c>
      <c r="S41" s="2164"/>
      <c r="T41" s="2163" t="s">
        <v>179</v>
      </c>
      <c r="U41" s="2164"/>
      <c r="V41" s="2160" t="s">
        <v>183</v>
      </c>
      <c r="W41" s="2161"/>
      <c r="X41" s="2161"/>
      <c r="Y41" s="2161"/>
      <c r="Z41" s="2161"/>
      <c r="AA41" s="2162"/>
    </row>
    <row r="42" spans="1:27" ht="12.75" customHeight="1">
      <c r="A42" s="202"/>
      <c r="B42" s="2165" t="str">
        <f>' 1A.Prop&amp;Residents'!B7</f>
        <v/>
      </c>
      <c r="C42" s="2165" t="e">
        <f>' 1A.Prop&amp;Residents'!A7</f>
        <v>#N/A</v>
      </c>
      <c r="D42" s="2165"/>
      <c r="E42" s="2156"/>
      <c r="F42" s="2156"/>
      <c r="G42" s="2153"/>
      <c r="H42" s="2153"/>
      <c r="I42" s="2153"/>
      <c r="J42" s="2153"/>
      <c r="K42" s="2153"/>
      <c r="L42" s="2153"/>
      <c r="M42" s="2153"/>
      <c r="N42" s="2153"/>
      <c r="O42" s="2153"/>
      <c r="P42" s="2153"/>
      <c r="Q42" s="1373"/>
      <c r="R42" s="2158">
        <f>$G$63</f>
        <v>0</v>
      </c>
      <c r="S42" s="2158"/>
      <c r="T42" s="2159">
        <f>I61</f>
        <v>0</v>
      </c>
      <c r="U42" s="2159"/>
      <c r="V42" s="2159">
        <f>K61</f>
        <v>0</v>
      </c>
      <c r="W42" s="2159"/>
      <c r="X42" s="2159"/>
      <c r="Y42" s="2159"/>
      <c r="Z42" s="2159"/>
      <c r="AA42" s="2159"/>
    </row>
    <row r="43" spans="1:27" ht="12.75" customHeight="1">
      <c r="A43" s="202"/>
      <c r="B43" s="2165"/>
      <c r="C43" s="2165"/>
      <c r="D43" s="2165"/>
      <c r="E43" s="2156"/>
      <c r="F43" s="2156"/>
      <c r="G43" s="2153"/>
      <c r="H43" s="2153"/>
      <c r="I43" s="2153"/>
      <c r="J43" s="2153"/>
      <c r="K43" s="2153"/>
      <c r="L43" s="2153"/>
      <c r="M43" s="2153"/>
      <c r="N43" s="2153"/>
      <c r="O43" s="2153"/>
      <c r="P43" s="2153"/>
      <c r="Q43" s="1373"/>
      <c r="R43" s="2158"/>
      <c r="S43" s="2158"/>
      <c r="T43" s="2159"/>
      <c r="U43" s="2159"/>
      <c r="V43" s="2159"/>
      <c r="W43" s="2159"/>
      <c r="X43" s="2159"/>
      <c r="Y43" s="2159"/>
      <c r="Z43" s="2159"/>
      <c r="AA43" s="2159"/>
    </row>
    <row r="44" spans="1:27" ht="12.75" customHeight="1">
      <c r="A44" s="202"/>
      <c r="B44" s="2165" t="str">
        <f>B42</f>
        <v/>
      </c>
      <c r="C44" s="2165" t="e">
        <f>C$42</f>
        <v>#N/A</v>
      </c>
      <c r="D44" s="2165">
        <f>D42</f>
        <v>0</v>
      </c>
      <c r="E44" s="2156"/>
      <c r="F44" s="2156"/>
      <c r="G44" s="2153"/>
      <c r="H44" s="2153"/>
      <c r="I44" s="2153"/>
      <c r="J44" s="2153"/>
      <c r="K44" s="2153"/>
      <c r="L44" s="2153"/>
      <c r="M44" s="2153"/>
      <c r="N44" s="2153"/>
      <c r="O44" s="2153"/>
      <c r="P44" s="2153"/>
      <c r="Q44" s="1373"/>
      <c r="R44" s="2158">
        <f>$G$65</f>
        <v>0</v>
      </c>
      <c r="S44" s="2159"/>
      <c r="T44" s="2159">
        <f>I63</f>
        <v>0</v>
      </c>
      <c r="U44" s="2159"/>
      <c r="V44" s="2159">
        <f>K63</f>
        <v>0</v>
      </c>
      <c r="W44" s="2159"/>
      <c r="X44" s="2159"/>
      <c r="Y44" s="2159"/>
      <c r="Z44" s="2159"/>
      <c r="AA44" s="2159"/>
    </row>
    <row r="45" spans="1:27" ht="12.75" customHeight="1">
      <c r="A45" s="202"/>
      <c r="B45" s="2165"/>
      <c r="C45" s="2165"/>
      <c r="D45" s="2165"/>
      <c r="E45" s="2156"/>
      <c r="F45" s="2156"/>
      <c r="G45" s="2153"/>
      <c r="H45" s="2153"/>
      <c r="I45" s="2153"/>
      <c r="J45" s="2153"/>
      <c r="K45" s="2153"/>
      <c r="L45" s="2153"/>
      <c r="M45" s="2153"/>
      <c r="N45" s="2153"/>
      <c r="O45" s="2153"/>
      <c r="P45" s="2153"/>
      <c r="Q45" s="1373"/>
      <c r="R45" s="2159"/>
      <c r="S45" s="2159"/>
      <c r="T45" s="2159"/>
      <c r="U45" s="2159"/>
      <c r="V45" s="2159"/>
      <c r="W45" s="2159"/>
      <c r="X45" s="2159"/>
      <c r="Y45" s="2159"/>
      <c r="Z45" s="2159"/>
      <c r="AA45" s="2159"/>
    </row>
    <row r="46" spans="1:27" ht="12.75" customHeight="1">
      <c r="A46" s="202"/>
      <c r="B46" s="2165" t="str">
        <f>B42</f>
        <v/>
      </c>
      <c r="C46" s="2165" t="e">
        <f>C$42</f>
        <v>#N/A</v>
      </c>
      <c r="D46" s="2165">
        <f>D44</f>
        <v>0</v>
      </c>
      <c r="E46" s="2156"/>
      <c r="F46" s="2156"/>
      <c r="G46" s="2153"/>
      <c r="H46" s="2153"/>
      <c r="I46" s="2153"/>
      <c r="J46" s="2153"/>
      <c r="K46" s="2153"/>
      <c r="L46" s="2153"/>
      <c r="M46" s="2153"/>
      <c r="N46" s="2153"/>
      <c r="O46" s="2153"/>
      <c r="P46" s="2153"/>
      <c r="Q46" s="1373"/>
      <c r="R46" s="2158">
        <f>$G$67</f>
        <v>0</v>
      </c>
      <c r="S46" s="2159"/>
      <c r="T46" s="2159">
        <f>I65</f>
        <v>0</v>
      </c>
      <c r="U46" s="2159"/>
      <c r="V46" s="2159">
        <f>K65</f>
        <v>0</v>
      </c>
      <c r="W46" s="2159"/>
      <c r="X46" s="2159"/>
      <c r="Y46" s="2159"/>
      <c r="Z46" s="2159"/>
      <c r="AA46" s="2159"/>
    </row>
    <row r="47" spans="1:27" ht="12.75" customHeight="1">
      <c r="A47" s="202"/>
      <c r="B47" s="2165"/>
      <c r="C47" s="2165"/>
      <c r="D47" s="2165"/>
      <c r="E47" s="2156"/>
      <c r="F47" s="2156"/>
      <c r="G47" s="2153"/>
      <c r="H47" s="2153"/>
      <c r="I47" s="2153"/>
      <c r="J47" s="2153"/>
      <c r="K47" s="2153"/>
      <c r="L47" s="2153"/>
      <c r="M47" s="2153"/>
      <c r="N47" s="2153"/>
      <c r="O47" s="2153"/>
      <c r="P47" s="2153"/>
      <c r="Q47" s="1373"/>
      <c r="R47" s="2159"/>
      <c r="S47" s="2159"/>
      <c r="T47" s="2159"/>
      <c r="U47" s="2159"/>
      <c r="V47" s="2159"/>
      <c r="W47" s="2159"/>
      <c r="X47" s="2159"/>
      <c r="Y47" s="2159"/>
      <c r="Z47" s="2159"/>
      <c r="AA47" s="2159"/>
    </row>
    <row r="48" spans="1:27" ht="12.75" customHeight="1">
      <c r="A48" s="202"/>
      <c r="B48" s="2165" t="str">
        <f>B42</f>
        <v/>
      </c>
      <c r="C48" s="2165" t="e">
        <f>C$42</f>
        <v>#N/A</v>
      </c>
      <c r="D48" s="2165">
        <f>D46</f>
        <v>0</v>
      </c>
      <c r="E48" s="2156"/>
      <c r="F48" s="2156"/>
      <c r="G48" s="2153"/>
      <c r="H48" s="2153"/>
      <c r="I48" s="2153"/>
      <c r="J48" s="2153"/>
      <c r="K48" s="2153"/>
      <c r="L48" s="2153"/>
      <c r="M48" s="2153"/>
      <c r="N48" s="2153"/>
      <c r="O48" s="2153"/>
      <c r="P48" s="2153"/>
      <c r="Q48" s="1373"/>
      <c r="R48" s="2158">
        <f>$G$69</f>
        <v>0</v>
      </c>
      <c r="S48" s="2159"/>
      <c r="T48" s="2159">
        <f>I67</f>
        <v>0</v>
      </c>
      <c r="U48" s="2159"/>
      <c r="V48" s="2159">
        <f>K67</f>
        <v>0</v>
      </c>
      <c r="W48" s="2159"/>
      <c r="X48" s="2159"/>
      <c r="Y48" s="2159"/>
      <c r="Z48" s="2159"/>
      <c r="AA48" s="2159"/>
    </row>
    <row r="49" spans="1:27" ht="12.75" customHeight="1">
      <c r="A49" s="202"/>
      <c r="B49" s="2165"/>
      <c r="C49" s="2165"/>
      <c r="D49" s="2165"/>
      <c r="E49" s="2156"/>
      <c r="F49" s="2156"/>
      <c r="G49" s="2153"/>
      <c r="H49" s="2153"/>
      <c r="I49" s="2153"/>
      <c r="J49" s="2153"/>
      <c r="K49" s="2153"/>
      <c r="L49" s="2153"/>
      <c r="M49" s="2153"/>
      <c r="N49" s="2153"/>
      <c r="O49" s="2153"/>
      <c r="P49" s="2153"/>
      <c r="Q49" s="1373"/>
      <c r="R49" s="2159"/>
      <c r="S49" s="2159"/>
      <c r="T49" s="2159"/>
      <c r="U49" s="2159"/>
      <c r="V49" s="2159"/>
      <c r="W49" s="2159"/>
      <c r="X49" s="2159"/>
      <c r="Y49" s="2159"/>
      <c r="Z49" s="2159"/>
      <c r="AA49" s="2159"/>
    </row>
    <row r="50" spans="1:27" ht="12.75" customHeight="1">
      <c r="A50" s="202"/>
      <c r="B50" s="2165" t="str">
        <f>B42</f>
        <v/>
      </c>
      <c r="C50" s="2165" t="e">
        <f>C$42</f>
        <v>#N/A</v>
      </c>
      <c r="D50" s="2165">
        <f>D48</f>
        <v>0</v>
      </c>
      <c r="E50" s="2156"/>
      <c r="F50" s="2156"/>
      <c r="G50" s="2153"/>
      <c r="H50" s="2153"/>
      <c r="I50" s="2153"/>
      <c r="J50" s="2153"/>
      <c r="K50" s="2153"/>
      <c r="L50" s="2153"/>
      <c r="M50" s="2153"/>
      <c r="N50" s="2153"/>
      <c r="O50" s="2153"/>
      <c r="P50" s="2153"/>
      <c r="Q50" s="1373"/>
      <c r="R50" s="2158">
        <f>$G$71</f>
        <v>0</v>
      </c>
      <c r="S50" s="2159"/>
      <c r="T50" s="2159">
        <f>I69</f>
        <v>0</v>
      </c>
      <c r="U50" s="2159"/>
      <c r="V50" s="2159">
        <f>K69</f>
        <v>0</v>
      </c>
      <c r="W50" s="2159"/>
      <c r="X50" s="2159"/>
      <c r="Y50" s="2159"/>
      <c r="Z50" s="2159"/>
      <c r="AA50" s="2159"/>
    </row>
    <row r="51" spans="1:27" ht="12.75" customHeight="1">
      <c r="A51" s="202"/>
      <c r="B51" s="2165"/>
      <c r="C51" s="2165"/>
      <c r="D51" s="2165"/>
      <c r="E51" s="2156"/>
      <c r="F51" s="2156"/>
      <c r="G51" s="2153"/>
      <c r="H51" s="2153"/>
      <c r="I51" s="2153"/>
      <c r="J51" s="2153"/>
      <c r="K51" s="2153"/>
      <c r="L51" s="2153"/>
      <c r="M51" s="2153"/>
      <c r="N51" s="2153"/>
      <c r="O51" s="2153"/>
      <c r="P51" s="2153"/>
      <c r="Q51" s="1373"/>
      <c r="R51" s="2159"/>
      <c r="S51" s="2159"/>
      <c r="T51" s="2159"/>
      <c r="U51" s="2159"/>
      <c r="V51" s="2159"/>
      <c r="W51" s="2159"/>
      <c r="X51" s="2159"/>
      <c r="Y51" s="2159"/>
      <c r="Z51" s="2159"/>
      <c r="AA51" s="2159"/>
    </row>
    <row r="52" spans="1:27" ht="12.75" customHeight="1">
      <c r="A52" s="202"/>
      <c r="B52" s="2165" t="str">
        <f>B42</f>
        <v/>
      </c>
      <c r="C52" s="2165" t="e">
        <f>C$42</f>
        <v>#N/A</v>
      </c>
      <c r="D52" s="2165">
        <f>D50</f>
        <v>0</v>
      </c>
      <c r="E52" s="2156"/>
      <c r="F52" s="2156"/>
      <c r="G52" s="2153"/>
      <c r="H52" s="2153"/>
      <c r="I52" s="2153"/>
      <c r="J52" s="2153"/>
      <c r="K52" s="2153"/>
      <c r="L52" s="2153"/>
      <c r="M52" s="2153"/>
      <c r="N52" s="2153"/>
      <c r="O52" s="2153"/>
      <c r="P52" s="2153"/>
      <c r="Q52" s="1373"/>
      <c r="R52" s="2158">
        <f>$G$73</f>
        <v>0</v>
      </c>
      <c r="S52" s="2159"/>
      <c r="T52" s="2159">
        <f>I71</f>
        <v>0</v>
      </c>
      <c r="U52" s="2159"/>
      <c r="V52" s="2159">
        <f>K71</f>
        <v>0</v>
      </c>
      <c r="W52" s="2159"/>
      <c r="X52" s="2159"/>
      <c r="Y52" s="2159"/>
      <c r="Z52" s="2159"/>
      <c r="AA52" s="2159"/>
    </row>
    <row r="53" spans="1:27" ht="12.75" customHeight="1">
      <c r="A53" s="202"/>
      <c r="B53" s="2165"/>
      <c r="C53" s="2165"/>
      <c r="D53" s="2165"/>
      <c r="E53" s="2156"/>
      <c r="F53" s="2156"/>
      <c r="G53" s="2153"/>
      <c r="H53" s="2153"/>
      <c r="I53" s="2153"/>
      <c r="J53" s="2153"/>
      <c r="K53" s="2153"/>
      <c r="L53" s="2153"/>
      <c r="M53" s="2153"/>
      <c r="N53" s="2153"/>
      <c r="O53" s="2153"/>
      <c r="P53" s="2153"/>
      <c r="Q53" s="1373"/>
      <c r="R53" s="2159"/>
      <c r="S53" s="2159"/>
      <c r="T53" s="2159"/>
      <c r="U53" s="2159"/>
      <c r="V53" s="2159"/>
      <c r="W53" s="2159"/>
      <c r="X53" s="2159"/>
      <c r="Y53" s="2159"/>
      <c r="Z53" s="2159"/>
      <c r="AA53" s="2159"/>
    </row>
    <row r="54" spans="1:27" ht="18">
      <c r="A54"/>
      <c r="B54"/>
      <c r="C54"/>
      <c r="D54"/>
      <c r="E54" s="91" t="s">
        <v>181</v>
      </c>
      <c r="R54"/>
      <c r="S54"/>
      <c r="T54"/>
      <c r="U54"/>
      <c r="V54"/>
      <c r="W54"/>
      <c r="X54"/>
      <c r="Y54"/>
      <c r="Z54"/>
      <c r="AA54"/>
    </row>
    <row r="55" spans="1:27">
      <c r="A55"/>
      <c r="B55"/>
      <c r="C55"/>
      <c r="D55"/>
      <c r="R55"/>
      <c r="S55"/>
      <c r="T55"/>
      <c r="U55"/>
      <c r="V55"/>
      <c r="W55"/>
      <c r="X55"/>
      <c r="Y55"/>
      <c r="Z55"/>
      <c r="AA55"/>
    </row>
    <row r="56" spans="1:27">
      <c r="F56" s="2187" t="s">
        <v>253</v>
      </c>
      <c r="G56" s="2188"/>
      <c r="H56" s="2188"/>
      <c r="I56" s="2188"/>
      <c r="J56" s="2188"/>
      <c r="K56" s="2188"/>
      <c r="L56" s="2188"/>
      <c r="M56" s="2188"/>
      <c r="N56" s="2189"/>
    </row>
    <row r="57" spans="1:27" ht="48" customHeight="1">
      <c r="F57" s="2190"/>
      <c r="G57" s="2191"/>
      <c r="H57" s="2191"/>
      <c r="I57" s="2191"/>
      <c r="J57" s="2191"/>
      <c r="K57" s="2191"/>
      <c r="L57" s="2191"/>
      <c r="M57" s="2191"/>
      <c r="N57" s="2192"/>
    </row>
    <row r="58" spans="1:27"/>
    <row r="59" spans="1:27"/>
    <row r="60" spans="1:27" ht="39.9" customHeight="1">
      <c r="E60" s="2157" t="s">
        <v>177</v>
      </c>
      <c r="F60" s="2157"/>
      <c r="G60" s="2151" t="s">
        <v>182</v>
      </c>
      <c r="H60" s="2152"/>
      <c r="I60" s="2151" t="s">
        <v>179</v>
      </c>
      <c r="J60" s="2152"/>
      <c r="K60" s="2157" t="s">
        <v>183</v>
      </c>
      <c r="L60" s="2157"/>
      <c r="M60" s="2157"/>
      <c r="N60" s="2157"/>
      <c r="O60" s="2157"/>
      <c r="P60" s="2157"/>
      <c r="Q60" s="1252"/>
    </row>
    <row r="61" spans="1:27" ht="15" customHeight="1">
      <c r="E61" s="2156"/>
      <c r="F61" s="2156"/>
      <c r="G61" s="2153"/>
      <c r="H61" s="2153"/>
      <c r="I61" s="2153"/>
      <c r="J61" s="2153"/>
      <c r="K61" s="2153"/>
      <c r="L61" s="2153"/>
      <c r="M61" s="2153"/>
      <c r="N61" s="2153"/>
      <c r="O61" s="2153"/>
      <c r="P61" s="2153"/>
      <c r="Q61" s="1253"/>
    </row>
    <row r="62" spans="1:27" ht="15" customHeight="1">
      <c r="E62" s="2156"/>
      <c r="F62" s="2156"/>
      <c r="G62" s="2153"/>
      <c r="H62" s="2153"/>
      <c r="I62" s="2153"/>
      <c r="J62" s="2153"/>
      <c r="K62" s="2153"/>
      <c r="L62" s="2153"/>
      <c r="M62" s="2153"/>
      <c r="N62" s="2153"/>
      <c r="O62" s="2153"/>
      <c r="P62" s="2153"/>
      <c r="Q62" s="1253"/>
    </row>
    <row r="63" spans="1:27" ht="15" customHeight="1">
      <c r="E63" s="2156"/>
      <c r="F63" s="2156"/>
      <c r="G63" s="2153"/>
      <c r="H63" s="2153"/>
      <c r="I63" s="2153"/>
      <c r="J63" s="2153"/>
      <c r="K63" s="2153"/>
      <c r="L63" s="2153"/>
      <c r="M63" s="2153"/>
      <c r="N63" s="2153"/>
      <c r="O63" s="2153"/>
      <c r="P63" s="2153"/>
      <c r="Q63" s="1253"/>
    </row>
    <row r="64" spans="1:27" ht="15" customHeight="1">
      <c r="E64" s="2156"/>
      <c r="F64" s="2156"/>
      <c r="G64" s="2153"/>
      <c r="H64" s="2153"/>
      <c r="I64" s="2153"/>
      <c r="J64" s="2153"/>
      <c r="K64" s="2153"/>
      <c r="L64" s="2153"/>
      <c r="M64" s="2153"/>
      <c r="N64" s="2153"/>
      <c r="O64" s="2153"/>
      <c r="P64" s="2153"/>
      <c r="Q64" s="1253"/>
    </row>
    <row r="65" spans="5:17" ht="15" customHeight="1">
      <c r="E65" s="2156"/>
      <c r="F65" s="2156"/>
      <c r="G65" s="2153"/>
      <c r="H65" s="2153"/>
      <c r="I65" s="2153"/>
      <c r="J65" s="2153"/>
      <c r="K65" s="2153"/>
      <c r="L65" s="2153"/>
      <c r="M65" s="2153"/>
      <c r="N65" s="2153"/>
      <c r="O65" s="2153"/>
      <c r="P65" s="2153"/>
      <c r="Q65" s="1253"/>
    </row>
    <row r="66" spans="5:17" ht="15" customHeight="1">
      <c r="E66" s="2156"/>
      <c r="F66" s="2156"/>
      <c r="G66" s="2153"/>
      <c r="H66" s="2153"/>
      <c r="I66" s="2153"/>
      <c r="J66" s="2153"/>
      <c r="K66" s="2153"/>
      <c r="L66" s="2153"/>
      <c r="M66" s="2153"/>
      <c r="N66" s="2153"/>
      <c r="O66" s="2153"/>
      <c r="P66" s="2153"/>
      <c r="Q66" s="1253"/>
    </row>
    <row r="67" spans="5:17" ht="15" customHeight="1">
      <c r="E67" s="2156"/>
      <c r="F67" s="2156"/>
      <c r="G67" s="2153"/>
      <c r="H67" s="2153"/>
      <c r="I67" s="2153"/>
      <c r="J67" s="2153"/>
      <c r="K67" s="2153"/>
      <c r="L67" s="2153"/>
      <c r="M67" s="2153"/>
      <c r="N67" s="2153"/>
      <c r="O67" s="2153"/>
      <c r="P67" s="2153"/>
      <c r="Q67" s="1253"/>
    </row>
    <row r="68" spans="5:17" ht="15" customHeight="1">
      <c r="E68" s="2156"/>
      <c r="F68" s="2156"/>
      <c r="G68" s="2153"/>
      <c r="H68" s="2153"/>
      <c r="I68" s="2153"/>
      <c r="J68" s="2153"/>
      <c r="K68" s="2153"/>
      <c r="L68" s="2153"/>
      <c r="M68" s="2153"/>
      <c r="N68" s="2153"/>
      <c r="O68" s="2153"/>
      <c r="P68" s="2153"/>
      <c r="Q68" s="1253"/>
    </row>
    <row r="69" spans="5:17" ht="15" customHeight="1">
      <c r="E69" s="2156"/>
      <c r="F69" s="2156"/>
      <c r="G69" s="2153"/>
      <c r="H69" s="2153"/>
      <c r="I69" s="2153"/>
      <c r="J69" s="2153"/>
      <c r="K69" s="2153"/>
      <c r="L69" s="2153"/>
      <c r="M69" s="2153"/>
      <c r="N69" s="2153"/>
      <c r="O69" s="2153"/>
      <c r="P69" s="2153"/>
      <c r="Q69" s="1253"/>
    </row>
    <row r="70" spans="5:17" ht="15" customHeight="1">
      <c r="E70" s="2156"/>
      <c r="F70" s="2156"/>
      <c r="G70" s="2153"/>
      <c r="H70" s="2153"/>
      <c r="I70" s="2153"/>
      <c r="J70" s="2153"/>
      <c r="K70" s="2153"/>
      <c r="L70" s="2153"/>
      <c r="M70" s="2153"/>
      <c r="N70" s="2153"/>
      <c r="O70" s="2153"/>
      <c r="P70" s="2153"/>
      <c r="Q70" s="1253"/>
    </row>
    <row r="71" spans="5:17" ht="15" customHeight="1">
      <c r="E71" s="2156"/>
      <c r="F71" s="2156"/>
      <c r="G71" s="2153"/>
      <c r="H71" s="2153"/>
      <c r="I71" s="2153"/>
      <c r="J71" s="2153"/>
      <c r="K71" s="2153"/>
      <c r="L71" s="2153"/>
      <c r="M71" s="2153"/>
      <c r="N71" s="2153"/>
      <c r="O71" s="2153"/>
      <c r="P71" s="2153"/>
      <c r="Q71" s="1253"/>
    </row>
    <row r="72" spans="5:17" ht="15" customHeight="1">
      <c r="E72" s="2156"/>
      <c r="F72" s="2156"/>
      <c r="G72" s="2153"/>
      <c r="H72" s="2153"/>
      <c r="I72" s="2153"/>
      <c r="J72" s="2153"/>
      <c r="K72" s="2153"/>
      <c r="L72" s="2153"/>
      <c r="M72" s="2153"/>
      <c r="N72" s="2153"/>
      <c r="O72" s="2153"/>
      <c r="P72" s="2153"/>
      <c r="Q72" s="1253"/>
    </row>
    <row r="73" spans="5:17" ht="18">
      <c r="E73" s="91" t="s">
        <v>181</v>
      </c>
    </row>
    <row r="74" spans="5:17"/>
    <row r="75" spans="5:17" ht="18" customHeight="1">
      <c r="F75" s="2187" t="s">
        <v>253</v>
      </c>
      <c r="G75" s="2188"/>
      <c r="H75" s="2188"/>
      <c r="I75" s="2188"/>
      <c r="J75" s="2188"/>
      <c r="K75" s="2188"/>
      <c r="L75" s="2188"/>
      <c r="M75" s="2188"/>
      <c r="N75" s="2189"/>
    </row>
    <row r="76" spans="5:17" ht="48" customHeight="1">
      <c r="F76" s="2190"/>
      <c r="G76" s="2191"/>
      <c r="H76" s="2191"/>
      <c r="I76" s="2191"/>
      <c r="J76" s="2191"/>
      <c r="K76" s="2191"/>
      <c r="L76" s="2191"/>
      <c r="M76" s="2191"/>
      <c r="N76" s="2192"/>
    </row>
    <row r="77" spans="5:17" s="688" customFormat="1">
      <c r="F77" s="689"/>
      <c r="G77" s="689"/>
      <c r="H77" s="689"/>
      <c r="I77" s="689"/>
      <c r="J77" s="689"/>
      <c r="K77" s="689"/>
      <c r="L77" s="689"/>
      <c r="M77" s="689"/>
      <c r="N77" s="689"/>
    </row>
    <row r="78" spans="5:17" s="96" customFormat="1" ht="27.75" customHeight="1">
      <c r="E78" s="97" t="s">
        <v>1088</v>
      </c>
      <c r="I78" s="691"/>
      <c r="J78" s="691"/>
      <c r="Q78" s="1215"/>
    </row>
    <row r="79" spans="5:17" ht="37.5" customHeight="1">
      <c r="E79" s="2167" t="s">
        <v>1089</v>
      </c>
      <c r="F79" s="2168"/>
      <c r="G79" s="2168"/>
      <c r="H79" s="2168"/>
      <c r="I79" s="2168"/>
      <c r="J79" s="2168"/>
      <c r="K79" s="2168"/>
      <c r="L79" s="2168"/>
      <c r="M79" s="2168"/>
      <c r="N79" s="2168"/>
      <c r="O79" s="2168"/>
      <c r="P79" s="2168"/>
      <c r="Q79" s="1220"/>
    </row>
    <row r="80" spans="5:17"/>
    <row r="81" spans="5:17">
      <c r="E81" s="2193"/>
      <c r="F81" s="2193"/>
      <c r="G81" s="2193"/>
      <c r="H81" s="2193"/>
      <c r="I81" s="2193"/>
      <c r="J81" s="2193"/>
      <c r="K81" s="2193"/>
      <c r="L81" s="2193"/>
      <c r="M81" s="2193"/>
      <c r="N81" s="2193"/>
      <c r="O81" s="2193"/>
      <c r="P81" s="2193"/>
      <c r="Q81" s="1218"/>
    </row>
    <row r="82" spans="5:17">
      <c r="E82" s="2193"/>
      <c r="F82" s="2193"/>
      <c r="G82" s="2193"/>
      <c r="H82" s="2193"/>
      <c r="I82" s="2193"/>
      <c r="J82" s="2193"/>
      <c r="K82" s="2193"/>
      <c r="L82" s="2193"/>
      <c r="M82" s="2193"/>
      <c r="N82" s="2193"/>
      <c r="O82" s="2193"/>
      <c r="P82" s="2193"/>
      <c r="Q82" s="1218"/>
    </row>
    <row r="83" spans="5:17">
      <c r="E83" s="2193"/>
      <c r="F83" s="2193"/>
      <c r="G83" s="2193"/>
      <c r="H83" s="2193"/>
      <c r="I83" s="2193"/>
      <c r="J83" s="2193"/>
      <c r="K83" s="2193"/>
      <c r="L83" s="2193"/>
      <c r="M83" s="2193"/>
      <c r="N83" s="2193"/>
      <c r="O83" s="2193"/>
      <c r="P83" s="2193"/>
      <c r="Q83" s="1218"/>
    </row>
    <row r="84" spans="5:17">
      <c r="E84" s="2193"/>
      <c r="F84" s="2193"/>
      <c r="G84" s="2193"/>
      <c r="H84" s="2193"/>
      <c r="I84" s="2193"/>
      <c r="J84" s="2193"/>
      <c r="K84" s="2193"/>
      <c r="L84" s="2193"/>
      <c r="M84" s="2193"/>
      <c r="N84" s="2193"/>
      <c r="O84" s="2193"/>
      <c r="P84" s="2193"/>
      <c r="Q84" s="1218"/>
    </row>
    <row r="85" spans="5:17">
      <c r="E85" s="2193"/>
      <c r="F85" s="2193"/>
      <c r="G85" s="2193"/>
      <c r="H85" s="2193"/>
      <c r="I85" s="2193"/>
      <c r="J85" s="2193"/>
      <c r="K85" s="2193"/>
      <c r="L85" s="2193"/>
      <c r="M85" s="2193"/>
      <c r="N85" s="2193"/>
      <c r="O85" s="2193"/>
      <c r="P85" s="2193"/>
      <c r="Q85" s="1218"/>
    </row>
    <row r="86" spans="5:17">
      <c r="E86" s="2193"/>
      <c r="F86" s="2193"/>
      <c r="G86" s="2193"/>
      <c r="H86" s="2193"/>
      <c r="I86" s="2193"/>
      <c r="J86" s="2193"/>
      <c r="K86" s="2193"/>
      <c r="L86" s="2193"/>
      <c r="M86" s="2193"/>
      <c r="N86" s="2193"/>
      <c r="O86" s="2193"/>
      <c r="P86" s="2193"/>
      <c r="Q86" s="1218"/>
    </row>
    <row r="87" spans="5:17">
      <c r="E87" s="2193"/>
      <c r="F87" s="2193"/>
      <c r="G87" s="2193"/>
      <c r="H87" s="2193"/>
      <c r="I87" s="2193"/>
      <c r="J87" s="2193"/>
      <c r="K87" s="2193"/>
      <c r="L87" s="2193"/>
      <c r="M87" s="2193"/>
      <c r="N87" s="2193"/>
      <c r="O87" s="2193"/>
      <c r="P87" s="2193"/>
      <c r="Q87" s="1218"/>
    </row>
    <row r="88" spans="5:17">
      <c r="E88" s="2193"/>
      <c r="F88" s="2193"/>
      <c r="G88" s="2193"/>
      <c r="H88" s="2193"/>
      <c r="I88" s="2193"/>
      <c r="J88" s="2193"/>
      <c r="K88" s="2193"/>
      <c r="L88" s="2193"/>
      <c r="M88" s="2193"/>
      <c r="N88" s="2193"/>
      <c r="O88" s="2193"/>
      <c r="P88" s="2193"/>
      <c r="Q88" s="1218"/>
    </row>
    <row r="89" spans="5:17">
      <c r="E89" s="2193"/>
      <c r="F89" s="2193"/>
      <c r="G89" s="2193"/>
      <c r="H89" s="2193"/>
      <c r="I89" s="2193"/>
      <c r="J89" s="2193"/>
      <c r="K89" s="2193"/>
      <c r="L89" s="2193"/>
      <c r="M89" s="2193"/>
      <c r="N89" s="2193"/>
      <c r="O89" s="2193"/>
      <c r="P89" s="2193"/>
      <c r="Q89" s="1218"/>
    </row>
    <row r="90" spans="5:17">
      <c r="E90" s="2193"/>
      <c r="F90" s="2193"/>
      <c r="G90" s="2193"/>
      <c r="H90" s="2193"/>
      <c r="I90" s="2193"/>
      <c r="J90" s="2193"/>
      <c r="K90" s="2193"/>
      <c r="L90" s="2193"/>
      <c r="M90" s="2193"/>
      <c r="N90" s="2193"/>
      <c r="O90" s="2193"/>
      <c r="P90" s="2193"/>
      <c r="Q90" s="1218"/>
    </row>
    <row r="91" spans="5:17">
      <c r="E91" s="682"/>
      <c r="F91" s="682"/>
      <c r="G91" s="682"/>
      <c r="H91" s="682"/>
      <c r="I91" s="766"/>
      <c r="J91" s="683"/>
      <c r="K91" s="682"/>
      <c r="L91" s="682"/>
      <c r="M91" s="682"/>
      <c r="N91" s="682"/>
      <c r="O91" s="682"/>
      <c r="P91" s="682"/>
      <c r="Q91" s="1218"/>
    </row>
    <row r="92" spans="5:17" s="96" customFormat="1" ht="27.75" customHeight="1">
      <c r="E92" s="97" t="s">
        <v>1090</v>
      </c>
      <c r="I92" s="784"/>
      <c r="J92" s="239" t="str">
        <f>IF(' 1A.Prop&amp;Residents'!$G$51="","",' 1A.Prop&amp;Residents'!$G$51)</f>
        <v/>
      </c>
      <c r="Q92" s="1215"/>
    </row>
    <row r="93" spans="5:17" ht="61.5" customHeight="1">
      <c r="E93" s="2195" t="s">
        <v>1585</v>
      </c>
      <c r="F93" s="2167"/>
      <c r="G93" s="2167"/>
      <c r="H93" s="2167"/>
      <c r="I93" s="2167"/>
      <c r="J93" s="2167"/>
      <c r="K93" s="2167"/>
      <c r="L93" s="2167"/>
      <c r="M93" s="2167"/>
      <c r="N93" s="2167"/>
      <c r="O93" s="2167"/>
      <c r="P93" s="2167"/>
      <c r="Q93" s="1219"/>
    </row>
    <row r="94" spans="5:17" ht="38.25" customHeight="1">
      <c r="E94" s="2186" t="s">
        <v>250</v>
      </c>
      <c r="F94" s="2186"/>
      <c r="G94" s="2186"/>
      <c r="H94" s="2186"/>
      <c r="I94" s="2186"/>
      <c r="J94" s="2186"/>
      <c r="K94" s="2186"/>
      <c r="L94" s="2186"/>
      <c r="M94" s="2186"/>
      <c r="N94" s="2186"/>
      <c r="O94" s="2186"/>
      <c r="P94" s="2186"/>
      <c r="Q94" s="1216"/>
    </row>
    <row r="95" spans="5:17" ht="38.1" customHeight="1">
      <c r="E95" s="2194" t="s">
        <v>1584</v>
      </c>
      <c r="F95" s="2186"/>
      <c r="G95" s="2186"/>
      <c r="H95" s="2186"/>
      <c r="I95" s="2186"/>
      <c r="J95" s="2186"/>
      <c r="K95" s="2186"/>
      <c r="L95" s="2186"/>
      <c r="M95" s="2186"/>
      <c r="N95" s="2186"/>
      <c r="O95" s="2186"/>
      <c r="P95" s="2186"/>
      <c r="Q95" s="1216"/>
    </row>
    <row r="96" spans="5:17" ht="38.1" customHeight="1">
      <c r="E96" s="2186" t="s">
        <v>247</v>
      </c>
      <c r="F96" s="2186"/>
      <c r="G96" s="2186"/>
      <c r="H96" s="2186"/>
      <c r="I96" s="2186"/>
      <c r="J96" s="2186"/>
      <c r="K96" s="2186"/>
      <c r="L96" s="2186"/>
      <c r="M96" s="2186"/>
      <c r="N96" s="2186"/>
      <c r="O96" s="2186"/>
      <c r="P96" s="2186"/>
      <c r="Q96" s="1216"/>
    </row>
    <row r="97" spans="5:17"/>
    <row r="98" spans="5:17">
      <c r="E98" s="2193"/>
      <c r="F98" s="2193"/>
      <c r="G98" s="2193"/>
      <c r="H98" s="2193"/>
      <c r="I98" s="2193"/>
      <c r="J98" s="2193"/>
      <c r="K98" s="2193"/>
      <c r="L98" s="2193"/>
      <c r="M98" s="2193"/>
      <c r="N98" s="2193"/>
      <c r="O98" s="2193"/>
      <c r="P98" s="2193"/>
      <c r="Q98" s="1218"/>
    </row>
    <row r="99" spans="5:17">
      <c r="E99" s="2193"/>
      <c r="F99" s="2193"/>
      <c r="G99" s="2193"/>
      <c r="H99" s="2193"/>
      <c r="I99" s="2193"/>
      <c r="J99" s="2193"/>
      <c r="K99" s="2193"/>
      <c r="L99" s="2193"/>
      <c r="M99" s="2193"/>
      <c r="N99" s="2193"/>
      <c r="O99" s="2193"/>
      <c r="P99" s="2193"/>
      <c r="Q99" s="1218"/>
    </row>
    <row r="100" spans="5:17">
      <c r="E100" s="2193"/>
      <c r="F100" s="2193"/>
      <c r="G100" s="2193"/>
      <c r="H100" s="2193"/>
      <c r="I100" s="2193"/>
      <c r="J100" s="2193"/>
      <c r="K100" s="2193"/>
      <c r="L100" s="2193"/>
      <c r="M100" s="2193"/>
      <c r="N100" s="2193"/>
      <c r="O100" s="2193"/>
      <c r="P100" s="2193"/>
      <c r="Q100" s="1218"/>
    </row>
    <row r="101" spans="5:17">
      <c r="E101" s="2193"/>
      <c r="F101" s="2193"/>
      <c r="G101" s="2193"/>
      <c r="H101" s="2193"/>
      <c r="I101" s="2193"/>
      <c r="J101" s="2193"/>
      <c r="K101" s="2193"/>
      <c r="L101" s="2193"/>
      <c r="M101" s="2193"/>
      <c r="N101" s="2193"/>
      <c r="O101" s="2193"/>
      <c r="P101" s="2193"/>
      <c r="Q101" s="1218"/>
    </row>
    <row r="102" spans="5:17">
      <c r="E102" s="2193"/>
      <c r="F102" s="2193"/>
      <c r="G102" s="2193"/>
      <c r="H102" s="2193"/>
      <c r="I102" s="2193"/>
      <c r="J102" s="2193"/>
      <c r="K102" s="2193"/>
      <c r="L102" s="2193"/>
      <c r="M102" s="2193"/>
      <c r="N102" s="2193"/>
      <c r="O102" s="2193"/>
      <c r="P102" s="2193"/>
      <c r="Q102" s="1218"/>
    </row>
    <row r="103" spans="5:17">
      <c r="E103" s="2193"/>
      <c r="F103" s="2193"/>
      <c r="G103" s="2193"/>
      <c r="H103" s="2193"/>
      <c r="I103" s="2193"/>
      <c r="J103" s="2193"/>
      <c r="K103" s="2193"/>
      <c r="L103" s="2193"/>
      <c r="M103" s="2193"/>
      <c r="N103" s="2193"/>
      <c r="O103" s="2193"/>
      <c r="P103" s="2193"/>
      <c r="Q103" s="1218"/>
    </row>
    <row r="104" spans="5:17">
      <c r="E104" s="2193"/>
      <c r="F104" s="2193"/>
      <c r="G104" s="2193"/>
      <c r="H104" s="2193"/>
      <c r="I104" s="2193"/>
      <c r="J104" s="2193"/>
      <c r="K104" s="2193"/>
      <c r="L104" s="2193"/>
      <c r="M104" s="2193"/>
      <c r="N104" s="2193"/>
      <c r="O104" s="2193"/>
      <c r="P104" s="2193"/>
      <c r="Q104" s="1218"/>
    </row>
    <row r="105" spans="5:17">
      <c r="E105" s="2193"/>
      <c r="F105" s="2193"/>
      <c r="G105" s="2193"/>
      <c r="H105" s="2193"/>
      <c r="I105" s="2193"/>
      <c r="J105" s="2193"/>
      <c r="K105" s="2193"/>
      <c r="L105" s="2193"/>
      <c r="M105" s="2193"/>
      <c r="N105" s="2193"/>
      <c r="O105" s="2193"/>
      <c r="P105" s="2193"/>
      <c r="Q105" s="1218"/>
    </row>
    <row r="106" spans="5:17">
      <c r="E106" s="2193"/>
      <c r="F106" s="2193"/>
      <c r="G106" s="2193"/>
      <c r="H106" s="2193"/>
      <c r="I106" s="2193"/>
      <c r="J106" s="2193"/>
      <c r="K106" s="2193"/>
      <c r="L106" s="2193"/>
      <c r="M106" s="2193"/>
      <c r="N106" s="2193"/>
      <c r="O106" s="2193"/>
      <c r="P106" s="2193"/>
      <c r="Q106" s="1218"/>
    </row>
    <row r="107" spans="5:17">
      <c r="E107" s="2193"/>
      <c r="F107" s="2193"/>
      <c r="G107" s="2193"/>
      <c r="H107" s="2193"/>
      <c r="I107" s="2193"/>
      <c r="J107" s="2193"/>
      <c r="K107" s="2193"/>
      <c r="L107" s="2193"/>
      <c r="M107" s="2193"/>
      <c r="N107" s="2193"/>
      <c r="O107" s="2193"/>
      <c r="P107" s="2193"/>
      <c r="Q107" s="1218"/>
    </row>
    <row r="108" spans="5:17">
      <c r="E108" s="684"/>
      <c r="F108" s="684"/>
      <c r="G108" s="684"/>
      <c r="H108" s="684"/>
      <c r="I108" s="683"/>
      <c r="J108" s="684"/>
      <c r="K108" s="684"/>
      <c r="L108" s="684"/>
      <c r="M108" s="684"/>
      <c r="N108" s="684"/>
      <c r="O108" s="684"/>
      <c r="P108" s="684"/>
      <c r="Q108" s="1218"/>
    </row>
    <row r="109" spans="5:17" s="96" customFormat="1" ht="27.75" customHeight="1">
      <c r="E109" s="97" t="s">
        <v>1091</v>
      </c>
      <c r="I109" s="239" t="str">
        <f>IF(' 1A.Prop&amp;Residents'!$G$54="","",' 1A.Prop&amp;Residents'!$G$54)</f>
        <v/>
      </c>
      <c r="Q109" s="1215"/>
    </row>
    <row r="110" spans="5:17" ht="36" customHeight="1">
      <c r="E110" s="2195" t="s">
        <v>1092</v>
      </c>
      <c r="F110" s="2196"/>
      <c r="G110" s="2196"/>
      <c r="H110" s="2196"/>
      <c r="I110" s="2196"/>
      <c r="J110" s="2196"/>
      <c r="K110" s="2196"/>
      <c r="L110" s="2196"/>
      <c r="M110" s="2196"/>
      <c r="N110" s="2196"/>
      <c r="O110" s="2196"/>
      <c r="P110" s="2196"/>
      <c r="Q110" s="1221"/>
    </row>
    <row r="111" spans="5:17" ht="33.75" customHeight="1">
      <c r="E111" s="2194" t="s">
        <v>1582</v>
      </c>
      <c r="F111" s="2186"/>
      <c r="G111" s="2186"/>
      <c r="H111" s="2186"/>
      <c r="I111" s="2186"/>
      <c r="J111" s="2186"/>
      <c r="K111" s="2186"/>
      <c r="L111" s="2186"/>
      <c r="M111" s="2186"/>
      <c r="N111" s="2186"/>
      <c r="O111" s="2186"/>
      <c r="P111" s="2186"/>
      <c r="Q111" s="1216"/>
    </row>
    <row r="112" spans="5:17" ht="17.25" customHeight="1">
      <c r="E112" s="2194" t="s">
        <v>56</v>
      </c>
      <c r="F112" s="2186"/>
      <c r="G112" s="2186"/>
      <c r="H112" s="2186"/>
      <c r="I112" s="2186"/>
      <c r="J112" s="2186"/>
      <c r="K112" s="2186"/>
      <c r="L112" s="2186"/>
      <c r="M112" s="2186"/>
      <c r="N112" s="2186"/>
      <c r="O112" s="2186"/>
      <c r="P112" s="2186"/>
      <c r="Q112" s="1216"/>
    </row>
    <row r="113" spans="5:19" ht="38.25" customHeight="1">
      <c r="E113" s="2194" t="s">
        <v>1583</v>
      </c>
      <c r="F113" s="2186"/>
      <c r="G113" s="2186"/>
      <c r="H113" s="2186"/>
      <c r="I113" s="2186"/>
      <c r="J113" s="2186"/>
      <c r="K113" s="2186"/>
      <c r="L113" s="2186"/>
      <c r="M113" s="2186"/>
      <c r="N113" s="2186"/>
      <c r="O113" s="2186"/>
      <c r="P113" s="2186"/>
      <c r="Q113" s="1216"/>
    </row>
    <row r="114" spans="5:19"/>
    <row r="115" spans="5:19">
      <c r="E115" s="2170"/>
      <c r="F115" s="2171"/>
      <c r="G115" s="2171"/>
      <c r="H115" s="2171"/>
      <c r="I115" s="2171"/>
      <c r="J115" s="2171"/>
      <c r="K115" s="2171"/>
      <c r="L115" s="2171"/>
      <c r="M115" s="2171"/>
      <c r="N115" s="2171"/>
      <c r="O115" s="2171"/>
      <c r="P115" s="2172"/>
      <c r="Q115" s="1218"/>
    </row>
    <row r="116" spans="5:19">
      <c r="E116" s="2173"/>
      <c r="F116" s="2174"/>
      <c r="G116" s="2174"/>
      <c r="H116" s="2174"/>
      <c r="I116" s="2174"/>
      <c r="J116" s="2174"/>
      <c r="K116" s="2174"/>
      <c r="L116" s="2174"/>
      <c r="M116" s="2174"/>
      <c r="N116" s="2174"/>
      <c r="O116" s="2174"/>
      <c r="P116" s="2175"/>
      <c r="Q116" s="1218"/>
    </row>
    <row r="117" spans="5:19">
      <c r="E117" s="2173"/>
      <c r="F117" s="2174"/>
      <c r="G117" s="2174"/>
      <c r="H117" s="2174"/>
      <c r="I117" s="2174"/>
      <c r="J117" s="2174"/>
      <c r="K117" s="2174"/>
      <c r="L117" s="2174"/>
      <c r="M117" s="2174"/>
      <c r="N117" s="2174"/>
      <c r="O117" s="2174"/>
      <c r="P117" s="2175"/>
      <c r="Q117" s="1218"/>
    </row>
    <row r="118" spans="5:19">
      <c r="E118" s="2173"/>
      <c r="F118" s="2174"/>
      <c r="G118" s="2174"/>
      <c r="H118" s="2174"/>
      <c r="I118" s="2174"/>
      <c r="J118" s="2174"/>
      <c r="K118" s="2174"/>
      <c r="L118" s="2174"/>
      <c r="M118" s="2174"/>
      <c r="N118" s="2174"/>
      <c r="O118" s="2174"/>
      <c r="P118" s="2175"/>
      <c r="Q118" s="1218"/>
    </row>
    <row r="119" spans="5:19">
      <c r="E119" s="2173"/>
      <c r="F119" s="2174"/>
      <c r="G119" s="2174"/>
      <c r="H119" s="2174"/>
      <c r="I119" s="2174"/>
      <c r="J119" s="2174"/>
      <c r="K119" s="2174"/>
      <c r="L119" s="2174"/>
      <c r="M119" s="2174"/>
      <c r="N119" s="2174"/>
      <c r="O119" s="2174"/>
      <c r="P119" s="2175"/>
      <c r="Q119" s="1218"/>
    </row>
    <row r="120" spans="5:19">
      <c r="E120" s="2173"/>
      <c r="F120" s="2174"/>
      <c r="G120" s="2174"/>
      <c r="H120" s="2174"/>
      <c r="I120" s="2174"/>
      <c r="J120" s="2174"/>
      <c r="K120" s="2174"/>
      <c r="L120" s="2174"/>
      <c r="M120" s="2174"/>
      <c r="N120" s="2174"/>
      <c r="O120" s="2174"/>
      <c r="P120" s="2175"/>
      <c r="Q120" s="1218"/>
    </row>
    <row r="121" spans="5:19">
      <c r="E121" s="2173"/>
      <c r="F121" s="2174"/>
      <c r="G121" s="2174"/>
      <c r="H121" s="2174"/>
      <c r="I121" s="2174"/>
      <c r="J121" s="2174"/>
      <c r="K121" s="2174"/>
      <c r="L121" s="2174"/>
      <c r="M121" s="2174"/>
      <c r="N121" s="2174"/>
      <c r="O121" s="2174"/>
      <c r="P121" s="2175"/>
      <c r="Q121" s="1218"/>
    </row>
    <row r="122" spans="5:19">
      <c r="E122" s="2173"/>
      <c r="F122" s="2174"/>
      <c r="G122" s="2174"/>
      <c r="H122" s="2174"/>
      <c r="I122" s="2174"/>
      <c r="J122" s="2174"/>
      <c r="K122" s="2174"/>
      <c r="L122" s="2174"/>
      <c r="M122" s="2174"/>
      <c r="N122" s="2174"/>
      <c r="O122" s="2174"/>
      <c r="P122" s="2175"/>
      <c r="Q122" s="1218"/>
    </row>
    <row r="123" spans="5:19">
      <c r="E123" s="2173"/>
      <c r="F123" s="2174"/>
      <c r="G123" s="2174"/>
      <c r="H123" s="2174"/>
      <c r="I123" s="2174"/>
      <c r="J123" s="2174"/>
      <c r="K123" s="2174"/>
      <c r="L123" s="2174"/>
      <c r="M123" s="2174"/>
      <c r="N123" s="2174"/>
      <c r="O123" s="2174"/>
      <c r="P123" s="2175"/>
      <c r="Q123" s="1218"/>
    </row>
    <row r="124" spans="5:19">
      <c r="E124" s="2176"/>
      <c r="F124" s="2177"/>
      <c r="G124" s="2177"/>
      <c r="H124" s="2177"/>
      <c r="I124" s="2177"/>
      <c r="J124" s="2177"/>
      <c r="K124" s="2177"/>
      <c r="L124" s="2177"/>
      <c r="M124" s="2177"/>
      <c r="N124" s="2177"/>
      <c r="O124" s="2177"/>
      <c r="P124" s="2178"/>
      <c r="Q124" s="1218"/>
    </row>
    <row r="125" spans="5:19">
      <c r="E125" s="684"/>
      <c r="F125" s="684"/>
      <c r="G125" s="684"/>
      <c r="H125" s="685"/>
      <c r="I125" s="684"/>
      <c r="J125" s="684"/>
      <c r="K125" s="684"/>
      <c r="L125" s="684"/>
      <c r="M125" s="684"/>
      <c r="N125" s="684"/>
      <c r="O125" s="684"/>
      <c r="P125" s="684"/>
      <c r="Q125" s="1218"/>
    </row>
    <row r="126" spans="5:19" s="96" customFormat="1" ht="27.75" customHeight="1">
      <c r="E126" s="97" t="s">
        <v>1093</v>
      </c>
      <c r="G126" s="184"/>
      <c r="H126" s="264" t="str">
        <f>'2.Fiscal'!J29</f>
        <v/>
      </c>
      <c r="Q126" s="1215"/>
    </row>
    <row r="127" spans="5:19" ht="20.25" customHeight="1">
      <c r="E127" s="2167" t="s">
        <v>1586</v>
      </c>
      <c r="F127" s="2168"/>
      <c r="G127" s="2168"/>
      <c r="H127" s="2168"/>
      <c r="I127" s="2168"/>
      <c r="J127" s="2168"/>
      <c r="K127" s="2168"/>
      <c r="L127" s="2168"/>
      <c r="M127" s="2168"/>
      <c r="N127" s="2168"/>
      <c r="O127" s="2168"/>
      <c r="P127" s="2168"/>
      <c r="Q127" s="1220"/>
      <c r="S127" s="110"/>
    </row>
    <row r="128" spans="5:19" ht="19.5" customHeight="1">
      <c r="E128" s="2168"/>
      <c r="F128" s="2168"/>
      <c r="G128" s="2168"/>
      <c r="H128" s="2168"/>
      <c r="I128" s="2168"/>
      <c r="J128" s="2168"/>
      <c r="K128" s="2168"/>
      <c r="L128" s="2168"/>
      <c r="M128" s="2168"/>
      <c r="N128" s="2168"/>
      <c r="O128" s="2168"/>
      <c r="P128" s="2168"/>
      <c r="Q128" s="1220"/>
      <c r="S128" s="110"/>
    </row>
    <row r="129" spans="5:17" ht="39" customHeight="1">
      <c r="E129" s="2186" t="s">
        <v>248</v>
      </c>
      <c r="F129" s="2186"/>
      <c r="G129" s="2186"/>
      <c r="H129" s="2186"/>
      <c r="I129" s="2186"/>
      <c r="J129" s="2186"/>
      <c r="K129" s="2186"/>
      <c r="L129" s="2186"/>
      <c r="M129" s="2186"/>
      <c r="N129" s="2186"/>
      <c r="O129" s="2186"/>
      <c r="P129" s="2186"/>
      <c r="Q129" s="1216"/>
    </row>
    <row r="130" spans="5:17" ht="38.1" customHeight="1">
      <c r="E130" s="2186" t="s">
        <v>249</v>
      </c>
      <c r="F130" s="2186"/>
      <c r="G130" s="2186"/>
      <c r="H130" s="2186"/>
      <c r="I130" s="2186"/>
      <c r="J130" s="2186"/>
      <c r="K130" s="2186"/>
      <c r="L130" s="2186"/>
      <c r="M130" s="2186"/>
      <c r="N130" s="2186"/>
      <c r="O130" s="2186"/>
      <c r="P130" s="2186"/>
      <c r="Q130" s="1216"/>
    </row>
    <row r="131" spans="5:17" ht="38.1" customHeight="1">
      <c r="E131" s="2186" t="s">
        <v>247</v>
      </c>
      <c r="F131" s="2186"/>
      <c r="G131" s="2186"/>
      <c r="H131" s="2186"/>
      <c r="I131" s="2186"/>
      <c r="J131" s="2186"/>
      <c r="K131" s="2186"/>
      <c r="L131" s="2186"/>
      <c r="M131" s="2186"/>
      <c r="N131" s="2186"/>
      <c r="O131" s="2186"/>
      <c r="P131" s="2186"/>
      <c r="Q131" s="1216"/>
    </row>
    <row r="132" spans="5:17"/>
    <row r="133" spans="5:17">
      <c r="E133" s="2193"/>
      <c r="F133" s="2193"/>
      <c r="G133" s="2193"/>
      <c r="H133" s="2193"/>
      <c r="I133" s="2193"/>
      <c r="J133" s="2193"/>
      <c r="K133" s="2193"/>
      <c r="L133" s="2193"/>
      <c r="M133" s="2193"/>
      <c r="N133" s="2193"/>
      <c r="O133" s="2193"/>
      <c r="P133" s="2193"/>
      <c r="Q133" s="1218"/>
    </row>
    <row r="134" spans="5:17">
      <c r="E134" s="2193"/>
      <c r="F134" s="2193"/>
      <c r="G134" s="2193"/>
      <c r="H134" s="2193"/>
      <c r="I134" s="2193"/>
      <c r="J134" s="2193"/>
      <c r="K134" s="2193"/>
      <c r="L134" s="2193"/>
      <c r="M134" s="2193"/>
      <c r="N134" s="2193"/>
      <c r="O134" s="2193"/>
      <c r="P134" s="2193"/>
      <c r="Q134" s="1218"/>
    </row>
    <row r="135" spans="5:17">
      <c r="E135" s="2193"/>
      <c r="F135" s="2193"/>
      <c r="G135" s="2193"/>
      <c r="H135" s="2193"/>
      <c r="I135" s="2193"/>
      <c r="J135" s="2193"/>
      <c r="K135" s="2193"/>
      <c r="L135" s="2193"/>
      <c r="M135" s="2193"/>
      <c r="N135" s="2193"/>
      <c r="O135" s="2193"/>
      <c r="P135" s="2193"/>
      <c r="Q135" s="1218"/>
    </row>
    <row r="136" spans="5:17">
      <c r="E136" s="2193"/>
      <c r="F136" s="2193"/>
      <c r="G136" s="2193"/>
      <c r="H136" s="2193"/>
      <c r="I136" s="2193"/>
      <c r="J136" s="2193"/>
      <c r="K136" s="2193"/>
      <c r="L136" s="2193"/>
      <c r="M136" s="2193"/>
      <c r="N136" s="2193"/>
      <c r="O136" s="2193"/>
      <c r="P136" s="2193"/>
      <c r="Q136" s="1218"/>
    </row>
    <row r="137" spans="5:17">
      <c r="E137" s="2193"/>
      <c r="F137" s="2193"/>
      <c r="G137" s="2193"/>
      <c r="H137" s="2193"/>
      <c r="I137" s="2193"/>
      <c r="J137" s="2193"/>
      <c r="K137" s="2193"/>
      <c r="L137" s="2193"/>
      <c r="M137" s="2193"/>
      <c r="N137" s="2193"/>
      <c r="O137" s="2193"/>
      <c r="P137" s="2193"/>
      <c r="Q137" s="1218"/>
    </row>
    <row r="138" spans="5:17">
      <c r="E138" s="2193"/>
      <c r="F138" s="2193"/>
      <c r="G138" s="2193"/>
      <c r="H138" s="2193"/>
      <c r="I138" s="2193"/>
      <c r="J138" s="2193"/>
      <c r="K138" s="2193"/>
      <c r="L138" s="2193"/>
      <c r="M138" s="2193"/>
      <c r="N138" s="2193"/>
      <c r="O138" s="2193"/>
      <c r="P138" s="2193"/>
      <c r="Q138" s="1218"/>
    </row>
    <row r="139" spans="5:17">
      <c r="E139" s="2193"/>
      <c r="F139" s="2193"/>
      <c r="G139" s="2193"/>
      <c r="H139" s="2193"/>
      <c r="I139" s="2193"/>
      <c r="J139" s="2193"/>
      <c r="K139" s="2193"/>
      <c r="L139" s="2193"/>
      <c r="M139" s="2193"/>
      <c r="N139" s="2193"/>
      <c r="O139" s="2193"/>
      <c r="P139" s="2193"/>
      <c r="Q139" s="1218"/>
    </row>
    <row r="140" spans="5:17">
      <c r="E140" s="2193"/>
      <c r="F140" s="2193"/>
      <c r="G140" s="2193"/>
      <c r="H140" s="2193"/>
      <c r="I140" s="2193"/>
      <c r="J140" s="2193"/>
      <c r="K140" s="2193"/>
      <c r="L140" s="2193"/>
      <c r="M140" s="2193"/>
      <c r="N140" s="2193"/>
      <c r="O140" s="2193"/>
      <c r="P140" s="2193"/>
      <c r="Q140" s="1218"/>
    </row>
    <row r="141" spans="5:17">
      <c r="E141" s="2193"/>
      <c r="F141" s="2193"/>
      <c r="G141" s="2193"/>
      <c r="H141" s="2193"/>
      <c r="I141" s="2193"/>
      <c r="J141" s="2193"/>
      <c r="K141" s="2193"/>
      <c r="L141" s="2193"/>
      <c r="M141" s="2193"/>
      <c r="N141" s="2193"/>
      <c r="O141" s="2193"/>
      <c r="P141" s="2193"/>
      <c r="Q141" s="1218"/>
    </row>
    <row r="142" spans="5:17">
      <c r="E142" s="2193"/>
      <c r="F142" s="2193"/>
      <c r="G142" s="2193"/>
      <c r="H142" s="2193"/>
      <c r="I142" s="2193"/>
      <c r="J142" s="2193"/>
      <c r="K142" s="2193"/>
      <c r="L142" s="2193"/>
      <c r="M142" s="2193"/>
      <c r="N142" s="2193"/>
      <c r="O142" s="2193"/>
      <c r="P142" s="2193"/>
      <c r="Q142" s="1218"/>
    </row>
    <row r="143" spans="5:17"/>
    <row r="144" spans="5:17" ht="21">
      <c r="E144" s="97" t="s">
        <v>1110</v>
      </c>
    </row>
    <row r="145" spans="2:20" ht="27.75" customHeight="1">
      <c r="E145" s="2197" t="s">
        <v>1429</v>
      </c>
      <c r="F145" s="2197"/>
      <c r="G145" s="2197"/>
      <c r="H145" s="2197"/>
      <c r="I145" s="2197"/>
      <c r="J145" s="2197"/>
      <c r="K145" s="2197"/>
      <c r="L145" s="2197"/>
      <c r="M145" s="2197"/>
      <c r="N145" s="2197"/>
      <c r="O145" s="2197"/>
      <c r="P145" s="2197"/>
      <c r="Q145" s="1217"/>
    </row>
    <row r="146" spans="2:20" ht="23.25" customHeight="1">
      <c r="E146" s="2197"/>
      <c r="F146" s="2197"/>
      <c r="G146" s="2197"/>
      <c r="H146" s="2197"/>
      <c r="I146" s="2197"/>
      <c r="J146" s="2197"/>
      <c r="K146" s="2197"/>
      <c r="L146" s="2197"/>
      <c r="M146" s="2197"/>
      <c r="N146" s="2197"/>
      <c r="O146" s="2197"/>
      <c r="P146" s="2197"/>
      <c r="Q146" s="1217"/>
    </row>
    <row r="147" spans="2:20" ht="24.75" customHeight="1">
      <c r="E147" s="2197"/>
      <c r="F147" s="2197"/>
      <c r="G147" s="2197"/>
      <c r="H147" s="2197"/>
      <c r="I147" s="2197"/>
      <c r="J147" s="2197"/>
      <c r="K147" s="2197"/>
      <c r="L147" s="2197"/>
      <c r="M147" s="2197"/>
      <c r="N147" s="2197"/>
      <c r="O147" s="2197"/>
      <c r="P147" s="2197"/>
      <c r="Q147" s="1217"/>
    </row>
    <row r="148" spans="2:20">
      <c r="E148" s="702"/>
      <c r="F148" s="702"/>
      <c r="G148" s="702"/>
      <c r="H148" s="702"/>
      <c r="I148" s="702"/>
      <c r="J148" s="702"/>
      <c r="K148" s="702"/>
      <c r="L148" s="702"/>
      <c r="M148" s="702"/>
      <c r="N148" s="702"/>
      <c r="O148" s="702"/>
      <c r="P148" s="702"/>
      <c r="Q148" s="702"/>
    </row>
    <row r="149" spans="2:20" ht="27" customHeight="1">
      <c r="E149" s="708" t="s">
        <v>803</v>
      </c>
      <c r="F149" s="702"/>
      <c r="G149" s="702"/>
      <c r="H149" s="702"/>
      <c r="I149" s="2154" t="str">
        <f>IF(SUM('2.Fiscal'!F70:H70)&gt;$S$151,SUM('2.Fiscal'!F70:H70),"")</f>
        <v/>
      </c>
      <c r="J149" s="2155"/>
      <c r="K149" s="702"/>
      <c r="L149" s="702"/>
      <c r="M149" s="702"/>
      <c r="N149" s="702"/>
      <c r="O149" s="702"/>
      <c r="P149" s="702"/>
      <c r="Q149" s="702"/>
    </row>
    <row r="150" spans="2:20" ht="41.25" customHeight="1">
      <c r="B150" s="203" t="s">
        <v>267</v>
      </c>
      <c r="C150" s="203" t="s">
        <v>266</v>
      </c>
      <c r="D150" s="761" t="s">
        <v>1055</v>
      </c>
      <c r="E150" s="740" t="s">
        <v>1058</v>
      </c>
      <c r="F150" s="741"/>
      <c r="G150" s="741"/>
      <c r="H150" s="741"/>
      <c r="I150" s="741" t="s">
        <v>241</v>
      </c>
      <c r="J150" s="741"/>
      <c r="K150" s="741" t="s">
        <v>804</v>
      </c>
      <c r="L150" s="741"/>
      <c r="M150" s="741" t="s">
        <v>805</v>
      </c>
      <c r="O150" s="702"/>
      <c r="P150" s="702"/>
      <c r="Q150" s="702"/>
    </row>
    <row r="151" spans="2:20">
      <c r="B151" s="89" t="str">
        <f>' 1A.Prop&amp;Residents'!$B$7</f>
        <v/>
      </c>
      <c r="C151" s="89" t="e">
        <f>' 1A.Prop&amp;Residents'!$A$7</f>
        <v>#N/A</v>
      </c>
      <c r="D151" s="762" t="s">
        <v>1056</v>
      </c>
      <c r="E151" s="2139"/>
      <c r="F151" s="2140"/>
      <c r="G151" s="2140"/>
      <c r="H151" s="2141"/>
      <c r="I151" s="2144"/>
      <c r="J151" s="2145"/>
      <c r="K151" s="2136"/>
      <c r="L151" s="2138"/>
      <c r="M151" s="2136"/>
      <c r="N151" s="2137"/>
      <c r="O151" s="2137"/>
      <c r="P151" s="2138"/>
      <c r="Q151" s="1254"/>
      <c r="S151" s="710">
        <v>10000</v>
      </c>
      <c r="T151" s="89" t="s">
        <v>808</v>
      </c>
    </row>
    <row r="152" spans="2:20">
      <c r="B152" s="89" t="str">
        <f>' 1A.Prop&amp;Residents'!$B$7</f>
        <v/>
      </c>
      <c r="C152" s="89" t="e">
        <f>' 1A.Prop&amp;Residents'!$A$7</f>
        <v>#N/A</v>
      </c>
      <c r="D152" s="762" t="s">
        <v>1056</v>
      </c>
      <c r="E152" s="2139"/>
      <c r="F152" s="2140"/>
      <c r="G152" s="2140"/>
      <c r="H152" s="2141"/>
      <c r="I152" s="2144"/>
      <c r="J152" s="2145"/>
      <c r="K152" s="2136"/>
      <c r="L152" s="2138"/>
      <c r="M152" s="2136"/>
      <c r="N152" s="2137"/>
      <c r="O152" s="2137"/>
      <c r="P152" s="2138"/>
      <c r="Q152" s="1254"/>
    </row>
    <row r="153" spans="2:20">
      <c r="B153" s="89" t="str">
        <f>' 1A.Prop&amp;Residents'!$B$7</f>
        <v/>
      </c>
      <c r="C153" s="89" t="e">
        <f>' 1A.Prop&amp;Residents'!$A$7</f>
        <v>#N/A</v>
      </c>
      <c r="D153" s="762" t="s">
        <v>1056</v>
      </c>
      <c r="E153" s="2139"/>
      <c r="F153" s="2140"/>
      <c r="G153" s="2140"/>
      <c r="H153" s="2141"/>
      <c r="I153" s="2144"/>
      <c r="J153" s="2145"/>
      <c r="K153" s="2136"/>
      <c r="L153" s="2138"/>
      <c r="M153" s="2136"/>
      <c r="N153" s="2137"/>
      <c r="O153" s="2137"/>
      <c r="P153" s="2138"/>
      <c r="Q153" s="1254"/>
    </row>
    <row r="154" spans="2:20">
      <c r="B154" s="89" t="str">
        <f>' 1A.Prop&amp;Residents'!$B$7</f>
        <v/>
      </c>
      <c r="C154" s="89" t="e">
        <f>' 1A.Prop&amp;Residents'!$A$7</f>
        <v>#N/A</v>
      </c>
      <c r="D154" s="762" t="s">
        <v>1056</v>
      </c>
      <c r="E154" s="2139"/>
      <c r="F154" s="2140"/>
      <c r="G154" s="2140"/>
      <c r="H154" s="2141"/>
      <c r="I154" s="2144"/>
      <c r="J154" s="2145"/>
      <c r="K154" s="2136"/>
      <c r="L154" s="2138"/>
      <c r="M154" s="2136"/>
      <c r="N154" s="2137"/>
      <c r="O154" s="2137"/>
      <c r="P154" s="2138"/>
      <c r="Q154" s="1254"/>
    </row>
    <row r="155" spans="2:20">
      <c r="B155" s="89" t="str">
        <f>' 1A.Prop&amp;Residents'!$B$7</f>
        <v/>
      </c>
      <c r="C155" s="89" t="e">
        <f>' 1A.Prop&amp;Residents'!$A$7</f>
        <v>#N/A</v>
      </c>
      <c r="D155" s="762" t="s">
        <v>1056</v>
      </c>
      <c r="E155" s="2139"/>
      <c r="F155" s="2140"/>
      <c r="G155" s="2140"/>
      <c r="H155" s="2141"/>
      <c r="I155" s="2144"/>
      <c r="J155" s="2145"/>
      <c r="K155" s="2136"/>
      <c r="L155" s="2138"/>
      <c r="M155" s="2136"/>
      <c r="N155" s="2137"/>
      <c r="O155" s="2137"/>
      <c r="P155" s="2138"/>
      <c r="Q155" s="1254"/>
    </row>
    <row r="156" spans="2:20">
      <c r="B156" s="89" t="str">
        <f>' 1A.Prop&amp;Residents'!$B$7</f>
        <v/>
      </c>
      <c r="C156" s="89" t="e">
        <f>' 1A.Prop&amp;Residents'!$A$7</f>
        <v>#N/A</v>
      </c>
      <c r="D156" s="762" t="s">
        <v>1056</v>
      </c>
      <c r="E156" s="2139"/>
      <c r="F156" s="2140"/>
      <c r="G156" s="2140"/>
      <c r="H156" s="2141"/>
      <c r="I156" s="2144"/>
      <c r="J156" s="2145"/>
      <c r="K156" s="2136"/>
      <c r="L156" s="2138"/>
      <c r="M156" s="2136"/>
      <c r="N156" s="2137"/>
      <c r="O156" s="2137"/>
      <c r="P156" s="2138"/>
      <c r="Q156" s="1254"/>
    </row>
    <row r="157" spans="2:20">
      <c r="B157" s="89" t="str">
        <f>' 1A.Prop&amp;Residents'!$B$7</f>
        <v/>
      </c>
      <c r="C157" s="89" t="e">
        <f>' 1A.Prop&amp;Residents'!$A$7</f>
        <v>#N/A</v>
      </c>
      <c r="D157" s="762" t="s">
        <v>1056</v>
      </c>
      <c r="E157" s="2139"/>
      <c r="F157" s="2140"/>
      <c r="G157" s="2140"/>
      <c r="H157" s="2141"/>
      <c r="I157" s="2144"/>
      <c r="J157" s="2145"/>
      <c r="K157" s="2136"/>
      <c r="L157" s="2138"/>
      <c r="M157" s="2136"/>
      <c r="N157" s="2137"/>
      <c r="O157" s="2137"/>
      <c r="P157" s="2138"/>
      <c r="Q157" s="1254"/>
    </row>
    <row r="158" spans="2:20" ht="18">
      <c r="E158" s="703"/>
      <c r="F158" s="703"/>
      <c r="G158" s="703"/>
      <c r="H158" s="706" t="s">
        <v>807</v>
      </c>
      <c r="I158" s="2149">
        <f>SUM(I151:J157)</f>
        <v>0</v>
      </c>
      <c r="J158" s="2150"/>
      <c r="K158" s="763" t="str">
        <f>IF($I$149&gt;$S$151,"",IF(I158&lt;&gt;I149,"Expense total does not match WS2!",""))</f>
        <v/>
      </c>
      <c r="L158" s="703"/>
      <c r="M158" s="703"/>
      <c r="N158" s="703"/>
      <c r="O158" s="703"/>
      <c r="P158" s="703"/>
      <c r="Q158" s="703"/>
    </row>
    <row r="159" spans="2:20">
      <c r="E159" s="703"/>
      <c r="F159" s="703"/>
      <c r="G159" s="703"/>
      <c r="H159" s="707" t="s">
        <v>809</v>
      </c>
      <c r="I159" s="2198" t="str">
        <f>IF(I149="","",I158-I149)</f>
        <v/>
      </c>
      <c r="J159" s="2199"/>
      <c r="K159" s="705"/>
      <c r="L159" s="705"/>
      <c r="M159" s="705"/>
      <c r="N159" s="705"/>
      <c r="O159" s="705"/>
      <c r="P159" s="705"/>
      <c r="Q159" s="705"/>
    </row>
    <row r="160" spans="2:20" ht="18" customHeight="1">
      <c r="E160" s="703"/>
      <c r="F160" s="703"/>
      <c r="G160" s="703"/>
      <c r="H160" s="703"/>
      <c r="I160" s="704"/>
      <c r="J160" s="704"/>
      <c r="K160" s="705"/>
      <c r="L160" s="705"/>
      <c r="M160" s="705"/>
      <c r="N160" s="705"/>
      <c r="O160" s="705"/>
      <c r="P160" s="705"/>
      <c r="Q160" s="705"/>
      <c r="T160" s="89" t="str">
        <f>IF(I149&gt;10000,"","check")</f>
        <v/>
      </c>
    </row>
    <row r="161" spans="2:20" ht="27" customHeight="1">
      <c r="E161" s="709" t="s">
        <v>806</v>
      </c>
      <c r="F161" s="703"/>
      <c r="G161" s="703"/>
      <c r="H161" s="703"/>
      <c r="I161" s="704"/>
      <c r="J161" s="704"/>
      <c r="K161" s="2146" t="str">
        <f>IF(SUM('2.Fiscal'!F98:H98)&gt;$S$151,SUM('2.Fiscal'!F98:H98),"")</f>
        <v/>
      </c>
      <c r="L161" s="2147"/>
      <c r="M161" s="2148"/>
      <c r="N161" s="705"/>
      <c r="O161" s="705"/>
      <c r="P161" s="705"/>
      <c r="Q161" s="705"/>
      <c r="T161" s="764"/>
    </row>
    <row r="162" spans="2:20" ht="42.75" customHeight="1">
      <c r="B162" s="203" t="s">
        <v>267</v>
      </c>
      <c r="C162" s="203" t="s">
        <v>266</v>
      </c>
      <c r="D162" s="761" t="s">
        <v>1055</v>
      </c>
      <c r="E162" s="740" t="s">
        <v>1058</v>
      </c>
      <c r="F162" s="741"/>
      <c r="G162" s="741"/>
      <c r="H162" s="741"/>
      <c r="I162" s="741" t="s">
        <v>241</v>
      </c>
      <c r="J162" s="741"/>
      <c r="K162" s="741" t="s">
        <v>804</v>
      </c>
      <c r="L162" s="741"/>
      <c r="M162" s="741" t="s">
        <v>805</v>
      </c>
      <c r="O162" s="702"/>
      <c r="P162" s="702"/>
      <c r="Q162" s="702"/>
    </row>
    <row r="163" spans="2:20">
      <c r="B163" s="89" t="str">
        <f>' 1A.Prop&amp;Residents'!$B$7</f>
        <v/>
      </c>
      <c r="C163" s="89" t="e">
        <f>' 1A.Prop&amp;Residents'!$A$7</f>
        <v>#N/A</v>
      </c>
      <c r="D163" s="762" t="s">
        <v>1057</v>
      </c>
      <c r="E163" s="2139"/>
      <c r="F163" s="2140"/>
      <c r="G163" s="2140"/>
      <c r="H163" s="2141"/>
      <c r="I163" s="2142"/>
      <c r="J163" s="2143"/>
      <c r="K163" s="2136"/>
      <c r="L163" s="2138"/>
      <c r="M163" s="2136"/>
      <c r="N163" s="2137"/>
      <c r="O163" s="2137"/>
      <c r="P163" s="2138"/>
      <c r="Q163" s="1254"/>
    </row>
    <row r="164" spans="2:20">
      <c r="B164" s="89" t="str">
        <f>' 1A.Prop&amp;Residents'!$B$7</f>
        <v/>
      </c>
      <c r="C164" s="89" t="e">
        <f>' 1A.Prop&amp;Residents'!$A$7</f>
        <v>#N/A</v>
      </c>
      <c r="D164" s="762" t="s">
        <v>1057</v>
      </c>
      <c r="E164" s="2139"/>
      <c r="F164" s="2140"/>
      <c r="G164" s="2140"/>
      <c r="H164" s="2141"/>
      <c r="I164" s="2142"/>
      <c r="J164" s="2143"/>
      <c r="K164" s="2136"/>
      <c r="L164" s="2138"/>
      <c r="M164" s="2136"/>
      <c r="N164" s="2137"/>
      <c r="O164" s="2137"/>
      <c r="P164" s="2138"/>
      <c r="Q164" s="1254"/>
    </row>
    <row r="165" spans="2:20">
      <c r="B165" s="89" t="str">
        <f>' 1A.Prop&amp;Residents'!$B$7</f>
        <v/>
      </c>
      <c r="C165" s="89" t="e">
        <f>' 1A.Prop&amp;Residents'!$A$7</f>
        <v>#N/A</v>
      </c>
      <c r="D165" s="762" t="s">
        <v>1057</v>
      </c>
      <c r="E165" s="2139"/>
      <c r="F165" s="2140"/>
      <c r="G165" s="2140"/>
      <c r="H165" s="2141"/>
      <c r="I165" s="2142"/>
      <c r="J165" s="2143"/>
      <c r="K165" s="2136"/>
      <c r="L165" s="2138"/>
      <c r="M165" s="2136"/>
      <c r="N165" s="2137"/>
      <c r="O165" s="2137"/>
      <c r="P165" s="2138"/>
      <c r="Q165" s="1254"/>
    </row>
    <row r="166" spans="2:20">
      <c r="B166" s="89" t="str">
        <f>' 1A.Prop&amp;Residents'!$B$7</f>
        <v/>
      </c>
      <c r="C166" s="89" t="e">
        <f>' 1A.Prop&amp;Residents'!$A$7</f>
        <v>#N/A</v>
      </c>
      <c r="D166" s="762" t="s">
        <v>1057</v>
      </c>
      <c r="E166" s="2139"/>
      <c r="F166" s="2140"/>
      <c r="G166" s="2140"/>
      <c r="H166" s="2141"/>
      <c r="I166" s="2142"/>
      <c r="J166" s="2143"/>
      <c r="K166" s="2136"/>
      <c r="L166" s="2138"/>
      <c r="M166" s="2136"/>
      <c r="N166" s="2137"/>
      <c r="O166" s="2137"/>
      <c r="P166" s="2138"/>
      <c r="Q166" s="1254"/>
    </row>
    <row r="167" spans="2:20">
      <c r="B167" s="89" t="str">
        <f>' 1A.Prop&amp;Residents'!$B$7</f>
        <v/>
      </c>
      <c r="C167" s="89" t="e">
        <f>' 1A.Prop&amp;Residents'!$A$7</f>
        <v>#N/A</v>
      </c>
      <c r="D167" s="762" t="s">
        <v>1057</v>
      </c>
      <c r="E167" s="2139"/>
      <c r="F167" s="2140"/>
      <c r="G167" s="2140"/>
      <c r="H167" s="2141"/>
      <c r="I167" s="2142"/>
      <c r="J167" s="2143"/>
      <c r="K167" s="2136"/>
      <c r="L167" s="2138"/>
      <c r="M167" s="2136"/>
      <c r="N167" s="2137"/>
      <c r="O167" s="2137"/>
      <c r="P167" s="2138"/>
      <c r="Q167" s="1254"/>
    </row>
    <row r="168" spans="2:20">
      <c r="B168" s="89" t="str">
        <f>' 1A.Prop&amp;Residents'!$B$7</f>
        <v/>
      </c>
      <c r="C168" s="89" t="e">
        <f>' 1A.Prop&amp;Residents'!$A$7</f>
        <v>#N/A</v>
      </c>
      <c r="D168" s="762" t="s">
        <v>1057</v>
      </c>
      <c r="E168" s="2139"/>
      <c r="F168" s="2140"/>
      <c r="G168" s="2140"/>
      <c r="H168" s="2141"/>
      <c r="I168" s="2142"/>
      <c r="J168" s="2143"/>
      <c r="K168" s="2136"/>
      <c r="L168" s="2138"/>
      <c r="M168" s="2136"/>
      <c r="N168" s="2137"/>
      <c r="O168" s="2137"/>
      <c r="P168" s="2138"/>
      <c r="Q168" s="1254"/>
    </row>
    <row r="169" spans="2:20">
      <c r="B169" s="89" t="str">
        <f>' 1A.Prop&amp;Residents'!$B$7</f>
        <v/>
      </c>
      <c r="C169" s="89" t="e">
        <f>' 1A.Prop&amp;Residents'!$A$7</f>
        <v>#N/A</v>
      </c>
      <c r="D169" s="762" t="s">
        <v>1057</v>
      </c>
      <c r="E169" s="2139"/>
      <c r="F169" s="2140"/>
      <c r="G169" s="2140"/>
      <c r="H169" s="2141"/>
      <c r="I169" s="2142"/>
      <c r="J169" s="2143"/>
      <c r="K169" s="2136"/>
      <c r="L169" s="2138"/>
      <c r="M169" s="2136"/>
      <c r="N169" s="2137"/>
      <c r="O169" s="2137"/>
      <c r="P169" s="2138"/>
      <c r="Q169" s="1254"/>
    </row>
    <row r="170" spans="2:20" ht="18">
      <c r="E170" s="703"/>
      <c r="F170" s="703"/>
      <c r="G170" s="703"/>
      <c r="H170" s="706" t="s">
        <v>807</v>
      </c>
      <c r="I170" s="2149">
        <f>SUM(I163:J169)</f>
        <v>0</v>
      </c>
      <c r="J170" s="2150"/>
      <c r="K170" s="763" t="str">
        <f>IF($K$161&gt;$S$151,"",IF(I170&lt;&gt;K161,"Expense total does not match WS2!",""))</f>
        <v/>
      </c>
      <c r="L170" s="705"/>
      <c r="M170" s="705"/>
      <c r="N170" s="705"/>
      <c r="O170" s="705"/>
      <c r="P170" s="705"/>
      <c r="Q170" s="705"/>
    </row>
    <row r="171" spans="2:20" ht="25.5" customHeight="1">
      <c r="E171" s="703"/>
      <c r="F171" s="703"/>
      <c r="G171" s="703"/>
      <c r="H171" s="707" t="s">
        <v>809</v>
      </c>
      <c r="I171" s="2198" t="str">
        <f>IF(K161="","",I170-K161)</f>
        <v/>
      </c>
      <c r="J171" s="2199"/>
      <c r="K171" s="705"/>
      <c r="L171" s="705"/>
      <c r="M171" s="705"/>
      <c r="N171" s="705"/>
      <c r="O171" s="705"/>
      <c r="P171" s="705"/>
      <c r="Q171" s="705"/>
    </row>
    <row r="172" spans="2:20"/>
    <row r="173" spans="2:20" s="96" customFormat="1" ht="27.75" customHeight="1">
      <c r="E173" s="97" t="s">
        <v>1094</v>
      </c>
      <c r="F173" s="693"/>
      <c r="G173" s="693"/>
      <c r="H173" s="693"/>
      <c r="I173" s="2146" t="str">
        <f>IF('2.Fiscal'!J137&lt;0, '2.Fiscal'!J137, "")</f>
        <v/>
      </c>
      <c r="J173" s="2148"/>
      <c r="K173" s="693"/>
      <c r="L173" s="693"/>
      <c r="M173" s="693"/>
      <c r="N173" s="693"/>
      <c r="O173" s="693"/>
      <c r="P173" s="693"/>
      <c r="Q173" s="1215"/>
    </row>
    <row r="174" spans="2:20" ht="40.5" customHeight="1">
      <c r="E174" s="2197" t="s">
        <v>1323</v>
      </c>
      <c r="F174" s="2197"/>
      <c r="G174" s="2197"/>
      <c r="H174" s="2197"/>
      <c r="I174" s="2197"/>
      <c r="J174" s="2197"/>
      <c r="K174" s="2197"/>
      <c r="L174" s="2197"/>
      <c r="M174" s="2197"/>
      <c r="N174" s="2197"/>
      <c r="O174" s="2197"/>
      <c r="P174" s="2197"/>
      <c r="Q174" s="1217"/>
    </row>
    <row r="175" spans="2:20" s="92" customFormat="1" ht="38.1" customHeight="1">
      <c r="E175" s="2186" t="s">
        <v>245</v>
      </c>
      <c r="F175" s="2186"/>
      <c r="G175" s="2186"/>
      <c r="H175" s="2186"/>
      <c r="I175" s="2186"/>
      <c r="J175" s="2186"/>
      <c r="K175" s="2186"/>
      <c r="L175" s="2186"/>
      <c r="M175" s="2186"/>
      <c r="N175" s="2186"/>
      <c r="O175" s="2186"/>
      <c r="P175" s="2186"/>
      <c r="Q175" s="1216"/>
    </row>
    <row r="176" spans="2:20" s="92" customFormat="1" ht="38.1" customHeight="1">
      <c r="E176" s="2186" t="s">
        <v>246</v>
      </c>
      <c r="F176" s="2186"/>
      <c r="G176" s="2186"/>
      <c r="H176" s="2186"/>
      <c r="I176" s="2186"/>
      <c r="J176" s="2186"/>
      <c r="K176" s="2186"/>
      <c r="L176" s="2186"/>
      <c r="M176" s="2186"/>
      <c r="N176" s="2186"/>
      <c r="O176" s="2186"/>
      <c r="P176" s="2186"/>
      <c r="Q176" s="1216"/>
    </row>
    <row r="177" spans="5:17" s="92" customFormat="1" ht="38.1" customHeight="1">
      <c r="E177" s="2186" t="s">
        <v>247</v>
      </c>
      <c r="F177" s="2186"/>
      <c r="G177" s="2186"/>
      <c r="H177" s="2186"/>
      <c r="I177" s="2186"/>
      <c r="J177" s="2186"/>
      <c r="K177" s="2186"/>
      <c r="L177" s="2186"/>
      <c r="M177" s="2186"/>
      <c r="N177" s="2186"/>
      <c r="O177" s="2186"/>
      <c r="P177" s="2186"/>
      <c r="Q177" s="1216"/>
    </row>
    <row r="178" spans="5:17" s="92" customFormat="1" ht="75" customHeight="1">
      <c r="E178" s="2194" t="s">
        <v>1482</v>
      </c>
      <c r="F178" s="2186"/>
      <c r="G178" s="2186"/>
      <c r="H178" s="2186"/>
      <c r="I178" s="2186"/>
      <c r="J178" s="2186"/>
      <c r="K178" s="2186"/>
      <c r="L178" s="2186"/>
      <c r="M178" s="2186"/>
      <c r="N178" s="2186"/>
      <c r="O178" s="2186"/>
      <c r="P178" s="2186"/>
      <c r="Q178" s="1289"/>
    </row>
    <row r="179" spans="5:17" ht="15" customHeight="1">
      <c r="E179" s="89" t="s">
        <v>1481</v>
      </c>
    </row>
    <row r="180" spans="5:17">
      <c r="E180" s="2170"/>
      <c r="F180" s="2171"/>
      <c r="G180" s="2171"/>
      <c r="H180" s="2171"/>
      <c r="I180" s="2171"/>
      <c r="J180" s="2171"/>
      <c r="K180" s="2171"/>
      <c r="L180" s="2171"/>
      <c r="M180" s="2171"/>
      <c r="N180" s="2171"/>
      <c r="O180" s="2171"/>
      <c r="P180" s="2172"/>
      <c r="Q180" s="1218"/>
    </row>
    <row r="181" spans="5:17">
      <c r="E181" s="2173"/>
      <c r="F181" s="2174"/>
      <c r="G181" s="2174"/>
      <c r="H181" s="2174"/>
      <c r="I181" s="2174"/>
      <c r="J181" s="2174"/>
      <c r="K181" s="2174"/>
      <c r="L181" s="2174"/>
      <c r="M181" s="2174"/>
      <c r="N181" s="2174"/>
      <c r="O181" s="2174"/>
      <c r="P181" s="2175"/>
      <c r="Q181" s="1218"/>
    </row>
    <row r="182" spans="5:17">
      <c r="E182" s="2173"/>
      <c r="F182" s="2174"/>
      <c r="G182" s="2174"/>
      <c r="H182" s="2174"/>
      <c r="I182" s="2174"/>
      <c r="J182" s="2174"/>
      <c r="K182" s="2174"/>
      <c r="L182" s="2174"/>
      <c r="M182" s="2174"/>
      <c r="N182" s="2174"/>
      <c r="O182" s="2174"/>
      <c r="P182" s="2175"/>
      <c r="Q182" s="1218"/>
    </row>
    <row r="183" spans="5:17">
      <c r="E183" s="2173"/>
      <c r="F183" s="2174"/>
      <c r="G183" s="2174"/>
      <c r="H183" s="2174"/>
      <c r="I183" s="2174"/>
      <c r="J183" s="2174"/>
      <c r="K183" s="2174"/>
      <c r="L183" s="2174"/>
      <c r="M183" s="2174"/>
      <c r="N183" s="2174"/>
      <c r="O183" s="2174"/>
      <c r="P183" s="2175"/>
      <c r="Q183" s="1218"/>
    </row>
    <row r="184" spans="5:17">
      <c r="E184" s="2173"/>
      <c r="F184" s="2174"/>
      <c r="G184" s="2174"/>
      <c r="H184" s="2174"/>
      <c r="I184" s="2174"/>
      <c r="J184" s="2174"/>
      <c r="K184" s="2174"/>
      <c r="L184" s="2174"/>
      <c r="M184" s="2174"/>
      <c r="N184" s="2174"/>
      <c r="O184" s="2174"/>
      <c r="P184" s="2175"/>
      <c r="Q184" s="1218"/>
    </row>
    <row r="185" spans="5:17">
      <c r="E185" s="2173"/>
      <c r="F185" s="2174"/>
      <c r="G185" s="2174"/>
      <c r="H185" s="2174"/>
      <c r="I185" s="2174"/>
      <c r="J185" s="2174"/>
      <c r="K185" s="2174"/>
      <c r="L185" s="2174"/>
      <c r="M185" s="2174"/>
      <c r="N185" s="2174"/>
      <c r="O185" s="2174"/>
      <c r="P185" s="2175"/>
      <c r="Q185" s="1218"/>
    </row>
    <row r="186" spans="5:17">
      <c r="E186" s="2173"/>
      <c r="F186" s="2174"/>
      <c r="G186" s="2174"/>
      <c r="H186" s="2174"/>
      <c r="I186" s="2174"/>
      <c r="J186" s="2174"/>
      <c r="K186" s="2174"/>
      <c r="L186" s="2174"/>
      <c r="M186" s="2174"/>
      <c r="N186" s="2174"/>
      <c r="O186" s="2174"/>
      <c r="P186" s="2175"/>
      <c r="Q186" s="1218"/>
    </row>
    <row r="187" spans="5:17">
      <c r="E187" s="2173"/>
      <c r="F187" s="2174"/>
      <c r="G187" s="2174"/>
      <c r="H187" s="2174"/>
      <c r="I187" s="2174"/>
      <c r="J187" s="2174"/>
      <c r="K187" s="2174"/>
      <c r="L187" s="2174"/>
      <c r="M187" s="2174"/>
      <c r="N187" s="2174"/>
      <c r="O187" s="2174"/>
      <c r="P187" s="2175"/>
      <c r="Q187" s="1218"/>
    </row>
    <row r="188" spans="5:17">
      <c r="E188" s="2176"/>
      <c r="F188" s="2177"/>
      <c r="G188" s="2177"/>
      <c r="H188" s="2177"/>
      <c r="I188" s="2177"/>
      <c r="J188" s="2177"/>
      <c r="K188" s="2177"/>
      <c r="L188" s="2177"/>
      <c r="M188" s="2177"/>
      <c r="N188" s="2177"/>
      <c r="O188" s="2177"/>
      <c r="P188" s="2178"/>
      <c r="Q188" s="1218"/>
    </row>
    <row r="189" spans="5:17" ht="22.8">
      <c r="E189" s="108" t="s">
        <v>176</v>
      </c>
    </row>
    <row r="190" spans="5:17"/>
  </sheetData>
  <sheetProtection algorithmName="SHA-512" hashValue="yf1hrxyYxS3XfV4xUVqq34T9joZ97Rxoyxlzhxo6xtzyUMPZ/mA3Nznijh+s53x9asv0ty5v9aE2UPoDyDp86w==" saltValue="drjtIA+6XsHAcw9IF9byTQ==" spinCount="100000" sheet="1" objects="1" scenarios="1" selectLockedCells="1"/>
  <customSheetViews>
    <customSheetView guid="{A4F761B4-88B3-4464-91E0-1CCCDBCD1B8B}" scale="75" showGridLines="0" showRuler="0">
      <rowBreaks count="6" manualBreakCount="6">
        <brk id="44" min="2" max="13" man="1"/>
        <brk id="79" min="2" max="13" man="1"/>
        <brk id="113" min="2" max="13" man="1"/>
        <brk id="146" min="2" max="13" man="1"/>
        <brk id="186" min="2" max="13" man="1"/>
        <brk id="217" min="2" max="13" man="1"/>
      </rowBreaks>
      <pageMargins left="0.75" right="0.75" top="1" bottom="1" header="0.5" footer="0.5"/>
      <printOptions horizontalCentered="1"/>
      <pageSetup scale="69" fitToHeight="0" orientation="portrait" r:id="rId1"/>
      <headerFooter alignWithMargins="0"/>
    </customSheetView>
    <customSheetView guid="{BE27EBD8-ED47-4D05-A191-2893A8781B62}" hiddenRows="1" hiddenColumns="1" topLeftCell="E7">
      <rowBreaks count="5" manualBreakCount="5">
        <brk id="37" min="4" max="15" man="1"/>
        <brk id="77" min="4" max="15" man="1"/>
        <brk id="108" min="4" max="15" man="1"/>
        <brk id="143" min="4" max="15" man="1"/>
        <brk id="237" min="4" max="15" man="1"/>
      </rowBreaks>
      <colBreaks count="1" manualBreakCount="1">
        <brk id="1" max="1048575" man="1"/>
      </colBreaks>
      <pageMargins left="0.75" right="0.75" top="1" bottom="1" header="0.5" footer="0.5"/>
      <printOptions horizontalCentered="1"/>
      <pageSetup scale="69" fitToHeight="0" orientation="portrait" r:id="rId2"/>
      <headerFooter alignWithMargins="0"/>
    </customSheetView>
  </customSheetViews>
  <mergeCells count="201">
    <mergeCell ref="E180:P188"/>
    <mergeCell ref="E175:P175"/>
    <mergeCell ref="E176:P176"/>
    <mergeCell ref="E177:P177"/>
    <mergeCell ref="E169:H169"/>
    <mergeCell ref="I169:J169"/>
    <mergeCell ref="K169:L169"/>
    <mergeCell ref="M169:P169"/>
    <mergeCell ref="I170:J170"/>
    <mergeCell ref="I171:J171"/>
    <mergeCell ref="I69:J70"/>
    <mergeCell ref="I71:J72"/>
    <mergeCell ref="E133:P142"/>
    <mergeCell ref="E93:P93"/>
    <mergeCell ref="E96:P96"/>
    <mergeCell ref="K69:P70"/>
    <mergeCell ref="E178:P178"/>
    <mergeCell ref="M155:P155"/>
    <mergeCell ref="E156:H156"/>
    <mergeCell ref="I173:J173"/>
    <mergeCell ref="E174:P174"/>
    <mergeCell ref="I159:J159"/>
    <mergeCell ref="E166:H166"/>
    <mergeCell ref="I166:J166"/>
    <mergeCell ref="K166:L166"/>
    <mergeCell ref="E155:H155"/>
    <mergeCell ref="I155:J155"/>
    <mergeCell ref="K155:L155"/>
    <mergeCell ref="E168:H168"/>
    <mergeCell ref="I168:J168"/>
    <mergeCell ref="I151:J151"/>
    <mergeCell ref="K151:L151"/>
    <mergeCell ref="K71:P72"/>
    <mergeCell ref="E154:H154"/>
    <mergeCell ref="I154:J154"/>
    <mergeCell ref="K154:L154"/>
    <mergeCell ref="M154:P154"/>
    <mergeCell ref="E112:P112"/>
    <mergeCell ref="E98:P107"/>
    <mergeCell ref="E129:P129"/>
    <mergeCell ref="E113:P113"/>
    <mergeCell ref="E115:P124"/>
    <mergeCell ref="E95:P95"/>
    <mergeCell ref="E111:P111"/>
    <mergeCell ref="E110:P110"/>
    <mergeCell ref="E130:P130"/>
    <mergeCell ref="E127:P128"/>
    <mergeCell ref="E131:P131"/>
    <mergeCell ref="M151:P151"/>
    <mergeCell ref="E145:P147"/>
    <mergeCell ref="E151:H151"/>
    <mergeCell ref="E94:P94"/>
    <mergeCell ref="F75:N76"/>
    <mergeCell ref="E71:F72"/>
    <mergeCell ref="G71:H72"/>
    <mergeCell ref="E79:P79"/>
    <mergeCell ref="E81:P90"/>
    <mergeCell ref="O42:P43"/>
    <mergeCell ref="F56:N57"/>
    <mergeCell ref="G46:H47"/>
    <mergeCell ref="O46:P47"/>
    <mergeCell ref="E50:F51"/>
    <mergeCell ref="I50:J51"/>
    <mergeCell ref="O50:P51"/>
    <mergeCell ref="I52:J53"/>
    <mergeCell ref="O48:P49"/>
    <mergeCell ref="K50:N51"/>
    <mergeCell ref="O52:P53"/>
    <mergeCell ref="E48:F49"/>
    <mergeCell ref="E46:F47"/>
    <mergeCell ref="K52:N53"/>
    <mergeCell ref="K48:N49"/>
    <mergeCell ref="K61:P62"/>
    <mergeCell ref="E60:F60"/>
    <mergeCell ref="G61:H62"/>
    <mergeCell ref="E1:P1"/>
    <mergeCell ref="G41:H41"/>
    <mergeCell ref="E39:P39"/>
    <mergeCell ref="E13:P18"/>
    <mergeCell ref="E21:P37"/>
    <mergeCell ref="E20:P20"/>
    <mergeCell ref="E41:F41"/>
    <mergeCell ref="I11:J11"/>
    <mergeCell ref="I12:J12"/>
    <mergeCell ref="E11:H11"/>
    <mergeCell ref="E12:H12"/>
    <mergeCell ref="H10:L10"/>
    <mergeCell ref="I41:J41"/>
    <mergeCell ref="K41:N41"/>
    <mergeCell ref="O41:P41"/>
    <mergeCell ref="C42:C43"/>
    <mergeCell ref="D42:D43"/>
    <mergeCell ref="B44:B45"/>
    <mergeCell ref="C44:C45"/>
    <mergeCell ref="D44:D45"/>
    <mergeCell ref="B42:B43"/>
    <mergeCell ref="I42:J43"/>
    <mergeCell ref="G42:H43"/>
    <mergeCell ref="K42:N43"/>
    <mergeCell ref="E42:F43"/>
    <mergeCell ref="I44:J45"/>
    <mergeCell ref="E44:F45"/>
    <mergeCell ref="K44:N45"/>
    <mergeCell ref="G44:H45"/>
    <mergeCell ref="E65:F66"/>
    <mergeCell ref="G65:H66"/>
    <mergeCell ref="E52:F53"/>
    <mergeCell ref="K65:P66"/>
    <mergeCell ref="K46:N47"/>
    <mergeCell ref="I46:J47"/>
    <mergeCell ref="G48:H49"/>
    <mergeCell ref="B48:B49"/>
    <mergeCell ref="C48:C49"/>
    <mergeCell ref="D50:D51"/>
    <mergeCell ref="D48:D49"/>
    <mergeCell ref="B50:B51"/>
    <mergeCell ref="C50:C51"/>
    <mergeCell ref="B46:B47"/>
    <mergeCell ref="C46:C47"/>
    <mergeCell ref="I48:J49"/>
    <mergeCell ref="D46:D47"/>
    <mergeCell ref="O44:P45"/>
    <mergeCell ref="T52:U53"/>
    <mergeCell ref="R46:S47"/>
    <mergeCell ref="T46:U47"/>
    <mergeCell ref="G52:H53"/>
    <mergeCell ref="B52:B53"/>
    <mergeCell ref="C52:C53"/>
    <mergeCell ref="D52:D53"/>
    <mergeCell ref="E63:F64"/>
    <mergeCell ref="E67:F68"/>
    <mergeCell ref="G67:H68"/>
    <mergeCell ref="I67:J68"/>
    <mergeCell ref="E69:F70"/>
    <mergeCell ref="K60:P60"/>
    <mergeCell ref="R52:S53"/>
    <mergeCell ref="G50:H51"/>
    <mergeCell ref="V41:AA41"/>
    <mergeCell ref="V42:AA43"/>
    <mergeCell ref="T42:U43"/>
    <mergeCell ref="T41:U41"/>
    <mergeCell ref="R41:S41"/>
    <mergeCell ref="T44:U45"/>
    <mergeCell ref="V44:AA45"/>
    <mergeCell ref="R42:S43"/>
    <mergeCell ref="R44:S45"/>
    <mergeCell ref="V52:AA53"/>
    <mergeCell ref="R48:S49"/>
    <mergeCell ref="T48:U49"/>
    <mergeCell ref="V48:AA49"/>
    <mergeCell ref="R50:S51"/>
    <mergeCell ref="T50:U51"/>
    <mergeCell ref="V50:AA51"/>
    <mergeCell ref="V46:AA47"/>
    <mergeCell ref="E163:H163"/>
    <mergeCell ref="I163:J163"/>
    <mergeCell ref="K163:L163"/>
    <mergeCell ref="M163:P163"/>
    <mergeCell ref="E164:H164"/>
    <mergeCell ref="I60:J60"/>
    <mergeCell ref="G63:H64"/>
    <mergeCell ref="G60:H60"/>
    <mergeCell ref="I149:J149"/>
    <mergeCell ref="E152:H152"/>
    <mergeCell ref="I152:J152"/>
    <mergeCell ref="K152:L152"/>
    <mergeCell ref="M152:P152"/>
    <mergeCell ref="E153:H153"/>
    <mergeCell ref="I153:J153"/>
    <mergeCell ref="K153:L153"/>
    <mergeCell ref="M153:P153"/>
    <mergeCell ref="K67:P68"/>
    <mergeCell ref="E61:F62"/>
    <mergeCell ref="K63:P64"/>
    <mergeCell ref="I65:J66"/>
    <mergeCell ref="I63:J64"/>
    <mergeCell ref="I61:J62"/>
    <mergeCell ref="G69:H70"/>
    <mergeCell ref="I156:J156"/>
    <mergeCell ref="K156:L156"/>
    <mergeCell ref="M156:P156"/>
    <mergeCell ref="K161:M161"/>
    <mergeCell ref="E157:H157"/>
    <mergeCell ref="I157:J157"/>
    <mergeCell ref="K157:L157"/>
    <mergeCell ref="M157:P157"/>
    <mergeCell ref="I158:J158"/>
    <mergeCell ref="M166:P166"/>
    <mergeCell ref="E167:H167"/>
    <mergeCell ref="I167:J167"/>
    <mergeCell ref="K167:L167"/>
    <mergeCell ref="M167:P167"/>
    <mergeCell ref="K168:L168"/>
    <mergeCell ref="M168:P168"/>
    <mergeCell ref="I164:J164"/>
    <mergeCell ref="K164:L164"/>
    <mergeCell ref="M164:P164"/>
    <mergeCell ref="E165:H165"/>
    <mergeCell ref="I165:J165"/>
    <mergeCell ref="K165:L165"/>
    <mergeCell ref="M165:P165"/>
  </mergeCells>
  <phoneticPr fontId="0" type="noConversion"/>
  <printOptions horizontalCentered="1"/>
  <pageMargins left="0.75" right="0.75" top="0.6" bottom="0.6" header="0.5" footer="0.5"/>
  <pageSetup scale="69" fitToHeight="0" orientation="portrait" r:id="rId3"/>
  <headerFooter alignWithMargins="0"/>
  <rowBreaks count="5" manualBreakCount="5">
    <brk id="37" min="4" max="16" man="1"/>
    <brk id="77" min="4" max="16" man="1"/>
    <brk id="108" min="4" max="16" man="1"/>
    <brk id="143" min="4" max="16" man="1"/>
    <brk id="188" min="4" max="15" man="1"/>
  </rowBreaks>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42"/>
  <sheetViews>
    <sheetView showGridLines="0" topLeftCell="A2" zoomScaleNormal="100" workbookViewId="0">
      <selection activeCell="B11" sqref="B11"/>
    </sheetView>
  </sheetViews>
  <sheetFormatPr defaultColWidth="0" defaultRowHeight="13.2" zeroHeight="1"/>
  <cols>
    <col min="1" max="1" width="10.88671875" customWidth="1"/>
    <col min="2" max="2" width="40.33203125" bestFit="1" customWidth="1"/>
    <col min="3" max="3" width="29.44140625" customWidth="1"/>
    <col min="4" max="4" width="15.6640625" customWidth="1"/>
    <col min="5" max="5" width="12.88671875" customWidth="1"/>
    <col min="6" max="6" width="30.6640625" customWidth="1"/>
    <col min="7" max="7" width="18.5546875" customWidth="1"/>
    <col min="8" max="8" width="29" customWidth="1"/>
    <col min="9" max="9" width="22.109375" customWidth="1"/>
    <col min="10" max="10" width="3.88671875" style="83" hidden="1" customWidth="1"/>
    <col min="11" max="12" width="22.109375" hidden="1" customWidth="1"/>
    <col min="13" max="13" width="11.88671875" hidden="1" customWidth="1"/>
    <col min="14" max="16384" width="9.109375" hidden="1"/>
  </cols>
  <sheetData>
    <row r="1" spans="1:16384" ht="189.75" hidden="1" customHeight="1" thickBot="1">
      <c r="A1" s="2200"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B1" s="2200"/>
      <c r="C1" s="2200"/>
      <c r="D1" s="2200"/>
      <c r="E1" s="2200"/>
      <c r="F1" s="2200"/>
      <c r="G1" s="2200"/>
      <c r="H1" s="2200"/>
      <c r="I1" s="2200"/>
      <c r="J1" s="1262"/>
      <c r="K1" s="278"/>
      <c r="L1" s="278"/>
      <c r="M1" s="400"/>
      <c r="N1" s="400"/>
      <c r="O1" s="400"/>
      <c r="P1" s="400"/>
      <c r="Q1" s="400"/>
      <c r="R1" s="400"/>
      <c r="S1" s="400"/>
      <c r="T1" s="400"/>
    </row>
    <row r="2" spans="1:16384" ht="33.75" customHeight="1">
      <c r="A2" s="2205" t="str">
        <f>'Completeness Tracker'!$O$23&amp;" "&amp;'Completeness Tracker'!$O$36&amp;" - "&amp;'Completeness Tracker'!$O$24&amp;'Completeness Tracker'!$O$39</f>
        <v>Annual Monitoring Report - Project Financing - Reporting Year 2018 - Mayor's Office of Housing &amp; Community Development</v>
      </c>
      <c r="B2" s="2205"/>
      <c r="C2" s="2205"/>
      <c r="D2" s="2205"/>
      <c r="E2" s="2205"/>
      <c r="F2" s="2205"/>
      <c r="G2" s="2205"/>
      <c r="H2" s="2205"/>
      <c r="I2" s="2205"/>
      <c r="J2" s="797"/>
      <c r="K2" s="768"/>
      <c r="L2" s="768"/>
      <c r="M2" s="768"/>
      <c r="N2" s="400"/>
      <c r="O2" s="400"/>
      <c r="P2" s="400"/>
      <c r="Q2" s="400"/>
      <c r="R2" s="400"/>
      <c r="S2" s="400"/>
      <c r="T2" s="400"/>
    </row>
    <row r="3" spans="1:16384" s="19" customFormat="1" ht="21" thickBot="1">
      <c r="A3" s="797"/>
      <c r="B3" s="797"/>
      <c r="C3" s="797"/>
      <c r="D3" s="797"/>
      <c r="E3" s="797"/>
      <c r="F3" s="797"/>
      <c r="G3" s="797"/>
      <c r="H3" s="797"/>
      <c r="I3" s="797"/>
      <c r="J3" s="797"/>
      <c r="K3" s="798"/>
      <c r="L3" s="798"/>
      <c r="M3" s="798"/>
      <c r="N3" s="799"/>
      <c r="O3" s="799"/>
      <c r="P3" s="799"/>
      <c r="Q3" s="799"/>
      <c r="R3" s="799"/>
      <c r="S3" s="799"/>
      <c r="T3" s="799"/>
    </row>
    <row r="4" spans="1:16384" ht="55.5" customHeight="1" thickBot="1">
      <c r="A4" s="2202" t="s">
        <v>786</v>
      </c>
      <c r="B4" s="2203"/>
      <c r="C4" s="2203"/>
      <c r="D4" s="2203"/>
      <c r="E4" s="2203"/>
      <c r="F4" s="2203"/>
      <c r="G4" s="2203"/>
      <c r="H4" s="2203"/>
      <c r="I4" s="2204"/>
      <c r="J4" s="1261"/>
      <c r="K4" s="413"/>
      <c r="L4" s="413"/>
      <c r="M4" s="400"/>
      <c r="N4" s="400"/>
      <c r="O4" s="400"/>
      <c r="P4" s="400"/>
      <c r="Q4" s="400"/>
      <c r="R4" s="400"/>
      <c r="S4" s="400"/>
      <c r="T4" s="400"/>
    </row>
    <row r="5" spans="1:16384" ht="21" thickBot="1">
      <c r="A5" s="796"/>
      <c r="B5" s="796"/>
      <c r="C5" s="796"/>
      <c r="D5" s="796"/>
      <c r="E5" s="796"/>
      <c r="F5" s="796"/>
      <c r="G5" s="796"/>
      <c r="H5" s="796"/>
      <c r="I5" s="796"/>
      <c r="J5" s="1261"/>
      <c r="K5" s="769"/>
      <c r="L5" s="769"/>
      <c r="M5" s="400"/>
      <c r="N5" s="400"/>
      <c r="O5" s="400"/>
      <c r="P5" s="400"/>
      <c r="Q5" s="400"/>
      <c r="R5" s="400"/>
      <c r="S5" s="400"/>
      <c r="T5" s="400"/>
    </row>
    <row r="6" spans="1:16384" ht="18" thickBot="1">
      <c r="A6" s="793" t="s">
        <v>1102</v>
      </c>
      <c r="B6" s="788"/>
      <c r="C6" s="794" t="str">
        <f>' 1A.Prop&amp;Residents'!$S$9</f>
        <v/>
      </c>
      <c r="D6" s="298"/>
      <c r="I6" s="298"/>
      <c r="J6" s="1263"/>
      <c r="K6" s="298"/>
      <c r="L6" s="298"/>
    </row>
    <row r="7" spans="1:16384" s="83" customFormat="1" ht="19.5" customHeight="1" thickBot="1">
      <c r="A7" s="1258" t="s">
        <v>437</v>
      </c>
      <c r="B7" s="1259"/>
      <c r="C7" s="1259"/>
      <c r="D7" s="1259"/>
      <c r="E7" s="1259"/>
      <c r="F7" s="1259"/>
      <c r="G7" s="1259"/>
      <c r="H7" s="1259"/>
      <c r="I7" s="1264"/>
      <c r="J7" s="1260"/>
      <c r="K7" s="1260"/>
      <c r="L7" s="1260"/>
      <c r="M7" s="1260"/>
      <c r="N7" s="2206"/>
      <c r="O7" s="2206"/>
      <c r="P7" s="2206"/>
      <c r="Q7" s="2206"/>
      <c r="R7" s="2206"/>
      <c r="S7" s="2206"/>
      <c r="T7" s="2206"/>
      <c r="U7" s="2206"/>
      <c r="V7" s="2206"/>
      <c r="W7" s="2206"/>
      <c r="X7" s="2206"/>
      <c r="Y7" s="2206"/>
      <c r="Z7" s="2206"/>
      <c r="AA7" s="2206"/>
      <c r="AB7" s="2206"/>
      <c r="AC7" s="2206"/>
      <c r="AD7" s="2206"/>
      <c r="AE7" s="2206"/>
      <c r="AF7" s="2206"/>
      <c r="AG7" s="2206"/>
      <c r="AH7" s="2206"/>
      <c r="AI7" s="2206"/>
      <c r="AJ7" s="2206"/>
      <c r="AK7" s="2206"/>
      <c r="AL7" s="2206"/>
      <c r="AM7" s="2206"/>
      <c r="AN7" s="2206"/>
      <c r="AO7" s="2206"/>
      <c r="AP7" s="2206"/>
      <c r="AQ7" s="2206"/>
      <c r="AR7" s="2206"/>
      <c r="AS7" s="2206"/>
      <c r="AT7" s="2206"/>
      <c r="AU7" s="2206"/>
      <c r="AV7" s="2206"/>
      <c r="AW7" s="2206"/>
      <c r="AX7" s="2206"/>
      <c r="AY7" s="2206"/>
      <c r="AZ7" s="2206"/>
      <c r="BA7" s="2206"/>
      <c r="BB7" s="2206"/>
      <c r="BC7" s="2206"/>
      <c r="BD7" s="2206"/>
      <c r="BE7" s="2206"/>
      <c r="BF7" s="2206"/>
      <c r="BG7" s="2206"/>
      <c r="BH7" s="2206"/>
      <c r="BI7" s="2206"/>
      <c r="BJ7" s="2206"/>
      <c r="BK7" s="2206"/>
      <c r="BL7" s="2206"/>
      <c r="BM7" s="2206"/>
      <c r="BN7" s="2206"/>
      <c r="BO7" s="2206"/>
      <c r="BP7" s="2206"/>
      <c r="BQ7" s="2206"/>
      <c r="BR7" s="2206"/>
      <c r="BS7" s="2206"/>
      <c r="BT7" s="2206"/>
      <c r="BU7" s="2206"/>
      <c r="BV7" s="2206"/>
      <c r="BW7" s="2206"/>
      <c r="BX7" s="2206"/>
      <c r="BY7" s="2206"/>
      <c r="BZ7" s="2206"/>
      <c r="CA7" s="2206"/>
      <c r="CB7" s="2206"/>
      <c r="CC7" s="2206"/>
      <c r="CD7" s="2206"/>
      <c r="CE7" s="2206"/>
      <c r="CF7" s="2206"/>
      <c r="CG7" s="2206"/>
      <c r="CH7" s="2206"/>
      <c r="CI7" s="2206"/>
      <c r="CJ7" s="2206"/>
      <c r="CK7" s="2206"/>
      <c r="CL7" s="2206"/>
      <c r="CM7" s="2206"/>
      <c r="CN7" s="2206"/>
      <c r="CO7" s="2206"/>
      <c r="CP7" s="2206"/>
      <c r="CQ7" s="2206"/>
      <c r="CR7" s="2206"/>
      <c r="CS7" s="2206"/>
      <c r="CT7" s="2206"/>
      <c r="CU7" s="2206"/>
      <c r="CV7" s="2206"/>
      <c r="CW7" s="2206"/>
      <c r="CX7" s="2206"/>
      <c r="CY7" s="2206"/>
      <c r="CZ7" s="2206"/>
      <c r="DA7" s="2206"/>
      <c r="DB7" s="2206"/>
      <c r="DC7" s="2206"/>
      <c r="DD7" s="2206"/>
      <c r="DE7" s="2206"/>
      <c r="DF7" s="2206"/>
      <c r="DG7" s="2206"/>
      <c r="DH7" s="2206"/>
      <c r="DI7" s="2206"/>
      <c r="DJ7" s="2206"/>
      <c r="DK7" s="2206"/>
      <c r="DL7" s="2206"/>
      <c r="DM7" s="2206"/>
      <c r="DN7" s="2206"/>
      <c r="DO7" s="2206"/>
      <c r="DP7" s="2206"/>
      <c r="DQ7" s="2206"/>
      <c r="DR7" s="2206"/>
      <c r="DS7" s="2206"/>
      <c r="DT7" s="2206"/>
      <c r="DU7" s="2206"/>
      <c r="DV7" s="2206"/>
      <c r="DW7" s="2206"/>
      <c r="DX7" s="2206"/>
      <c r="DY7" s="2206"/>
      <c r="DZ7" s="2206"/>
      <c r="EA7" s="2206"/>
      <c r="EB7" s="2206"/>
      <c r="EC7" s="2206"/>
      <c r="ED7" s="2206"/>
      <c r="EE7" s="2206"/>
      <c r="EF7" s="2206"/>
      <c r="EG7" s="2206"/>
      <c r="EH7" s="2206"/>
      <c r="EI7" s="2206"/>
      <c r="EJ7" s="2206"/>
      <c r="EK7" s="2206"/>
      <c r="EL7" s="2206"/>
      <c r="EM7" s="2206"/>
      <c r="EN7" s="2206"/>
      <c r="EO7" s="2206"/>
      <c r="EP7" s="2206"/>
      <c r="EQ7" s="2206"/>
      <c r="ER7" s="2206"/>
      <c r="ES7" s="2206"/>
      <c r="ET7" s="2206"/>
      <c r="EU7" s="2206"/>
      <c r="EV7" s="2206"/>
      <c r="EW7" s="2206"/>
      <c r="EX7" s="2206"/>
      <c r="EY7" s="2206"/>
      <c r="EZ7" s="2206"/>
      <c r="FA7" s="2206"/>
      <c r="FB7" s="2206"/>
      <c r="FC7" s="2206"/>
      <c r="FD7" s="2206"/>
      <c r="FE7" s="2206"/>
      <c r="FF7" s="2206"/>
      <c r="FG7" s="2206"/>
      <c r="FH7" s="2206"/>
      <c r="FI7" s="2206"/>
      <c r="FJ7" s="2206"/>
      <c r="FK7" s="2206"/>
      <c r="FL7" s="2206"/>
      <c r="FM7" s="2206"/>
      <c r="FN7" s="2206"/>
      <c r="FO7" s="2206"/>
      <c r="FP7" s="2206"/>
      <c r="FQ7" s="2206"/>
      <c r="FR7" s="2206"/>
      <c r="FS7" s="2206"/>
      <c r="FT7" s="2206"/>
      <c r="FU7" s="2206"/>
      <c r="FV7" s="2206"/>
      <c r="FW7" s="2206"/>
      <c r="FX7" s="2206"/>
      <c r="FY7" s="2206"/>
      <c r="FZ7" s="2206"/>
      <c r="GA7" s="2206"/>
      <c r="GB7" s="2206"/>
      <c r="GC7" s="2206"/>
      <c r="GD7" s="2206"/>
      <c r="GE7" s="2206"/>
      <c r="GF7" s="2206"/>
      <c r="GG7" s="2206"/>
      <c r="GH7" s="2206"/>
      <c r="GI7" s="2206"/>
      <c r="GJ7" s="2206"/>
      <c r="GK7" s="2206"/>
      <c r="GL7" s="2206"/>
      <c r="GM7" s="2206"/>
      <c r="GN7" s="2206"/>
      <c r="GO7" s="2206"/>
      <c r="GP7" s="2206"/>
      <c r="GQ7" s="2206"/>
      <c r="GR7" s="2206"/>
      <c r="GS7" s="2206"/>
      <c r="GT7" s="2206"/>
      <c r="GU7" s="2206"/>
      <c r="GV7" s="2206"/>
      <c r="GW7" s="2206"/>
      <c r="GX7" s="2206"/>
      <c r="GY7" s="2206"/>
      <c r="GZ7" s="2206"/>
      <c r="HA7" s="2206"/>
      <c r="HB7" s="2206"/>
      <c r="HC7" s="2206"/>
      <c r="HD7" s="2206"/>
      <c r="HE7" s="2206"/>
      <c r="HF7" s="2206"/>
      <c r="HG7" s="2206"/>
      <c r="HH7" s="2206"/>
      <c r="HI7" s="2206"/>
      <c r="HJ7" s="2206"/>
      <c r="HK7" s="2206"/>
      <c r="HL7" s="2206"/>
      <c r="HM7" s="2206"/>
      <c r="HN7" s="2206"/>
      <c r="HO7" s="2206"/>
      <c r="HP7" s="2206"/>
      <c r="HQ7" s="2206"/>
      <c r="HR7" s="2206"/>
      <c r="HS7" s="2206"/>
      <c r="HT7" s="2206"/>
      <c r="HU7" s="2206"/>
      <c r="HV7" s="2206"/>
      <c r="HW7" s="2206"/>
      <c r="HX7" s="2206"/>
      <c r="HY7" s="2206"/>
      <c r="HZ7" s="2206"/>
      <c r="IA7" s="2206"/>
      <c r="IB7" s="2206"/>
      <c r="IC7" s="2206"/>
      <c r="ID7" s="2206"/>
      <c r="IE7" s="2206"/>
      <c r="IF7" s="2206"/>
      <c r="IG7" s="2206"/>
      <c r="IH7" s="2206"/>
      <c r="II7" s="2206"/>
      <c r="IJ7" s="2206"/>
      <c r="IK7" s="2206"/>
      <c r="IL7" s="2206"/>
      <c r="IM7" s="2206"/>
      <c r="IN7" s="2206"/>
      <c r="IO7" s="2206"/>
      <c r="IP7" s="2206"/>
      <c r="IQ7" s="2206"/>
      <c r="IR7" s="2206"/>
      <c r="IS7" s="2206"/>
      <c r="IT7" s="2206"/>
      <c r="IU7" s="2206"/>
      <c r="IV7" s="2206"/>
      <c r="IW7" s="2206"/>
      <c r="IX7" s="2206"/>
      <c r="IY7" s="2206"/>
      <c r="IZ7" s="2206"/>
      <c r="JA7" s="2206"/>
      <c r="JB7" s="2206"/>
      <c r="JC7" s="2206"/>
      <c r="JD7" s="2206"/>
      <c r="JE7" s="2206"/>
      <c r="JF7" s="2206"/>
      <c r="JG7" s="2206"/>
      <c r="JH7" s="2206"/>
      <c r="JI7" s="2206"/>
      <c r="JJ7" s="2206"/>
      <c r="JK7" s="2206"/>
      <c r="JL7" s="2206"/>
      <c r="JM7" s="2206"/>
      <c r="JN7" s="2206"/>
      <c r="JO7" s="2206"/>
      <c r="JP7" s="2206"/>
      <c r="JQ7" s="2206"/>
      <c r="JR7" s="2206"/>
      <c r="JS7" s="2206"/>
      <c r="JT7" s="2206"/>
      <c r="JU7" s="2206"/>
      <c r="JV7" s="2206"/>
      <c r="JW7" s="2206"/>
      <c r="JX7" s="2206"/>
      <c r="JY7" s="2206"/>
      <c r="JZ7" s="2206"/>
      <c r="KA7" s="2206"/>
      <c r="KB7" s="2206"/>
      <c r="KC7" s="2206"/>
      <c r="KD7" s="2206"/>
      <c r="KE7" s="2206"/>
      <c r="KF7" s="2206"/>
      <c r="KG7" s="2206"/>
      <c r="KH7" s="2206"/>
      <c r="KI7" s="2206"/>
      <c r="KJ7" s="2206"/>
      <c r="KK7" s="2206"/>
      <c r="KL7" s="2206"/>
      <c r="KM7" s="2206"/>
      <c r="KN7" s="2206"/>
      <c r="KO7" s="2206"/>
      <c r="KP7" s="2206"/>
      <c r="KQ7" s="2206"/>
      <c r="KR7" s="2206"/>
      <c r="KS7" s="2206"/>
      <c r="KT7" s="2206"/>
      <c r="KU7" s="2206"/>
      <c r="KV7" s="2206"/>
      <c r="KW7" s="2206"/>
      <c r="KX7" s="2206"/>
      <c r="KY7" s="2206"/>
      <c r="KZ7" s="2206"/>
      <c r="LA7" s="2206"/>
      <c r="LB7" s="2206"/>
      <c r="LC7" s="2206"/>
      <c r="LD7" s="2206"/>
      <c r="LE7" s="2206"/>
      <c r="LF7" s="2206"/>
      <c r="LG7" s="2206"/>
      <c r="LH7" s="2206"/>
      <c r="LI7" s="2206"/>
      <c r="LJ7" s="2206"/>
      <c r="LK7" s="2206"/>
      <c r="LL7" s="2206"/>
      <c r="LM7" s="2206"/>
      <c r="LN7" s="2206"/>
      <c r="LO7" s="2206"/>
      <c r="LP7" s="2206"/>
      <c r="LQ7" s="2206"/>
      <c r="LR7" s="2206"/>
      <c r="LS7" s="2206"/>
      <c r="LT7" s="2206"/>
      <c r="LU7" s="2206"/>
      <c r="LV7" s="2206"/>
      <c r="LW7" s="2206"/>
      <c r="LX7" s="2206"/>
      <c r="LY7" s="2206"/>
      <c r="LZ7" s="2206"/>
      <c r="MA7" s="2206"/>
      <c r="MB7" s="2206"/>
      <c r="MC7" s="2206"/>
      <c r="MD7" s="2206"/>
      <c r="ME7" s="2206"/>
      <c r="MF7" s="2206"/>
      <c r="MG7" s="2206"/>
      <c r="MH7" s="2206"/>
      <c r="MI7" s="2206"/>
      <c r="MJ7" s="2206"/>
      <c r="MK7" s="2206"/>
      <c r="ML7" s="2206"/>
      <c r="MM7" s="2206"/>
      <c r="MN7" s="2206"/>
      <c r="MO7" s="2206"/>
      <c r="MP7" s="2206"/>
      <c r="MQ7" s="2206"/>
      <c r="MR7" s="2206"/>
      <c r="MS7" s="2206"/>
      <c r="MT7" s="2206"/>
      <c r="MU7" s="2206"/>
      <c r="MV7" s="2206"/>
      <c r="MW7" s="2206"/>
      <c r="MX7" s="2206"/>
      <c r="MY7" s="2206"/>
      <c r="MZ7" s="2206"/>
      <c r="NA7" s="2206"/>
      <c r="NB7" s="2206"/>
      <c r="NC7" s="2206"/>
      <c r="ND7" s="2206"/>
      <c r="NE7" s="2206"/>
      <c r="NF7" s="2206"/>
      <c r="NG7" s="2206"/>
      <c r="NH7" s="2206"/>
      <c r="NI7" s="2206"/>
      <c r="NJ7" s="2206"/>
      <c r="NK7" s="2206"/>
      <c r="NL7" s="2206"/>
      <c r="NM7" s="2206"/>
      <c r="NN7" s="2206"/>
      <c r="NO7" s="2206"/>
      <c r="NP7" s="2206"/>
      <c r="NQ7" s="2206"/>
      <c r="NR7" s="2206"/>
      <c r="NS7" s="2206"/>
      <c r="NT7" s="2206"/>
      <c r="NU7" s="2206"/>
      <c r="NV7" s="2206"/>
      <c r="NW7" s="2206"/>
      <c r="NX7" s="2206"/>
      <c r="NY7" s="2206"/>
      <c r="NZ7" s="2206"/>
      <c r="OA7" s="2206"/>
      <c r="OB7" s="2206"/>
      <c r="OC7" s="2206"/>
      <c r="OD7" s="2206"/>
      <c r="OE7" s="2206"/>
      <c r="OF7" s="2206"/>
      <c r="OG7" s="2206"/>
      <c r="OH7" s="2206"/>
      <c r="OI7" s="2206"/>
      <c r="OJ7" s="2206"/>
      <c r="OK7" s="2206"/>
      <c r="OL7" s="2206"/>
      <c r="OM7" s="2206"/>
      <c r="ON7" s="2206"/>
      <c r="OO7" s="2206"/>
      <c r="OP7" s="2206"/>
      <c r="OQ7" s="2206"/>
      <c r="OR7" s="2206"/>
      <c r="OS7" s="2206"/>
      <c r="OT7" s="2206"/>
      <c r="OU7" s="2206"/>
      <c r="OV7" s="2206"/>
      <c r="OW7" s="2206"/>
      <c r="OX7" s="2206"/>
      <c r="OY7" s="2206"/>
      <c r="OZ7" s="2206"/>
      <c r="PA7" s="2206"/>
      <c r="PB7" s="2206"/>
      <c r="PC7" s="2206"/>
      <c r="PD7" s="2206"/>
      <c r="PE7" s="2206"/>
      <c r="PF7" s="2206"/>
      <c r="PG7" s="2206"/>
      <c r="PH7" s="2206"/>
      <c r="PI7" s="2206"/>
      <c r="PJ7" s="2206"/>
      <c r="PK7" s="2206"/>
      <c r="PL7" s="2206"/>
      <c r="PM7" s="2206"/>
      <c r="PN7" s="2206"/>
      <c r="PO7" s="2206"/>
      <c r="PP7" s="2206"/>
      <c r="PQ7" s="2206"/>
      <c r="PR7" s="2206"/>
      <c r="PS7" s="2206"/>
      <c r="PT7" s="2206"/>
      <c r="PU7" s="2206"/>
      <c r="PV7" s="2206"/>
      <c r="PW7" s="2206"/>
      <c r="PX7" s="2206"/>
      <c r="PY7" s="2206"/>
      <c r="PZ7" s="2206"/>
      <c r="QA7" s="2206"/>
      <c r="QB7" s="2206"/>
      <c r="QC7" s="2206"/>
      <c r="QD7" s="2206"/>
      <c r="QE7" s="2206"/>
      <c r="QF7" s="2206"/>
      <c r="QG7" s="2206"/>
      <c r="QH7" s="2206"/>
      <c r="QI7" s="2206"/>
      <c r="QJ7" s="2206"/>
      <c r="QK7" s="2206"/>
      <c r="QL7" s="2206"/>
      <c r="QM7" s="2206"/>
      <c r="QN7" s="2206"/>
      <c r="QO7" s="2206"/>
      <c r="QP7" s="2206"/>
      <c r="QQ7" s="2206"/>
      <c r="QR7" s="2206"/>
      <c r="QS7" s="2206"/>
      <c r="QT7" s="2206"/>
      <c r="QU7" s="2206"/>
      <c r="QV7" s="2206"/>
      <c r="QW7" s="2206"/>
      <c r="QX7" s="2206"/>
      <c r="QY7" s="2206"/>
      <c r="QZ7" s="2206"/>
      <c r="RA7" s="2206"/>
      <c r="RB7" s="2206"/>
      <c r="RC7" s="2206"/>
      <c r="RD7" s="2206"/>
      <c r="RE7" s="2206"/>
      <c r="RF7" s="2206"/>
      <c r="RG7" s="2206"/>
      <c r="RH7" s="2206"/>
      <c r="RI7" s="2206"/>
      <c r="RJ7" s="2206"/>
      <c r="RK7" s="2206"/>
      <c r="RL7" s="2206"/>
      <c r="RM7" s="2206"/>
      <c r="RN7" s="2206"/>
      <c r="RO7" s="2206"/>
      <c r="RP7" s="2206"/>
      <c r="RQ7" s="2206"/>
      <c r="RR7" s="2206"/>
      <c r="RS7" s="2206"/>
      <c r="RT7" s="2206"/>
      <c r="RU7" s="2206"/>
      <c r="RV7" s="2206"/>
      <c r="RW7" s="2206"/>
      <c r="RX7" s="2206"/>
      <c r="RY7" s="2206"/>
      <c r="RZ7" s="2206"/>
      <c r="SA7" s="2206"/>
      <c r="SB7" s="2206"/>
      <c r="SC7" s="2206"/>
      <c r="SD7" s="2206"/>
      <c r="SE7" s="2206"/>
      <c r="SF7" s="2206"/>
      <c r="SG7" s="2206"/>
      <c r="SH7" s="2206"/>
      <c r="SI7" s="2206"/>
      <c r="SJ7" s="2206"/>
      <c r="SK7" s="2206"/>
      <c r="SL7" s="2206"/>
      <c r="SM7" s="2206"/>
      <c r="SN7" s="2206"/>
      <c r="SO7" s="2206"/>
      <c r="SP7" s="2206"/>
      <c r="SQ7" s="2206"/>
      <c r="SR7" s="2206"/>
      <c r="SS7" s="2206"/>
      <c r="ST7" s="2206"/>
      <c r="SU7" s="2206"/>
      <c r="SV7" s="2206"/>
      <c r="SW7" s="2206"/>
      <c r="SX7" s="2206"/>
      <c r="SY7" s="2206"/>
      <c r="SZ7" s="2206"/>
      <c r="TA7" s="2206"/>
      <c r="TB7" s="2206"/>
      <c r="TC7" s="2206"/>
      <c r="TD7" s="2206"/>
      <c r="TE7" s="2206"/>
      <c r="TF7" s="2206"/>
      <c r="TG7" s="2206"/>
      <c r="TH7" s="2206"/>
      <c r="TI7" s="2206"/>
      <c r="TJ7" s="2206"/>
      <c r="TK7" s="2206"/>
      <c r="TL7" s="2206"/>
      <c r="TM7" s="2206"/>
      <c r="TN7" s="2206"/>
      <c r="TO7" s="2206"/>
      <c r="TP7" s="2206"/>
      <c r="TQ7" s="2206"/>
      <c r="TR7" s="2206"/>
      <c r="TS7" s="2206"/>
      <c r="TT7" s="2206"/>
      <c r="TU7" s="2206"/>
      <c r="TV7" s="2206"/>
      <c r="TW7" s="2206"/>
      <c r="TX7" s="2206"/>
      <c r="TY7" s="2206"/>
      <c r="TZ7" s="2206"/>
      <c r="UA7" s="2206"/>
      <c r="UB7" s="2206"/>
      <c r="UC7" s="2206"/>
      <c r="UD7" s="2206"/>
      <c r="UE7" s="2206"/>
      <c r="UF7" s="2206"/>
      <c r="UG7" s="2206"/>
      <c r="UH7" s="2206"/>
      <c r="UI7" s="2206"/>
      <c r="UJ7" s="2206"/>
      <c r="UK7" s="2206"/>
      <c r="UL7" s="2206"/>
      <c r="UM7" s="2206"/>
      <c r="UN7" s="2206"/>
      <c r="UO7" s="2206"/>
      <c r="UP7" s="2206"/>
      <c r="UQ7" s="2206"/>
      <c r="UR7" s="2206"/>
      <c r="US7" s="2206"/>
      <c r="UT7" s="2206"/>
      <c r="UU7" s="2206"/>
      <c r="UV7" s="2206"/>
      <c r="UW7" s="2206"/>
      <c r="UX7" s="2206"/>
      <c r="UY7" s="2206"/>
      <c r="UZ7" s="2206"/>
      <c r="VA7" s="2206"/>
      <c r="VB7" s="2206"/>
      <c r="VC7" s="2206"/>
      <c r="VD7" s="2206"/>
      <c r="VE7" s="2206"/>
      <c r="VF7" s="2206"/>
      <c r="VG7" s="2206"/>
      <c r="VH7" s="2206"/>
      <c r="VI7" s="2206"/>
      <c r="VJ7" s="2206"/>
      <c r="VK7" s="2206"/>
      <c r="VL7" s="2206"/>
      <c r="VM7" s="2206"/>
      <c r="VN7" s="2206"/>
      <c r="VO7" s="2206"/>
      <c r="VP7" s="2206"/>
      <c r="VQ7" s="2206"/>
      <c r="VR7" s="2206"/>
      <c r="VS7" s="2206"/>
      <c r="VT7" s="2206"/>
      <c r="VU7" s="2206"/>
      <c r="VV7" s="2206"/>
      <c r="VW7" s="2206"/>
      <c r="VX7" s="2206"/>
      <c r="VY7" s="2206"/>
      <c r="VZ7" s="2206"/>
      <c r="WA7" s="2206"/>
      <c r="WB7" s="2206"/>
      <c r="WC7" s="2206"/>
      <c r="WD7" s="2206"/>
      <c r="WE7" s="2206"/>
      <c r="WF7" s="2206"/>
      <c r="WG7" s="2206"/>
      <c r="WH7" s="2206"/>
      <c r="WI7" s="2206"/>
      <c r="WJ7" s="2206"/>
      <c r="WK7" s="2206"/>
      <c r="WL7" s="2206"/>
      <c r="WM7" s="2206"/>
      <c r="WN7" s="2206"/>
      <c r="WO7" s="2206"/>
      <c r="WP7" s="2206"/>
      <c r="WQ7" s="2206"/>
      <c r="WR7" s="2206"/>
      <c r="WS7" s="2206"/>
      <c r="WT7" s="2206"/>
      <c r="WU7" s="2206"/>
      <c r="WV7" s="2206"/>
      <c r="WW7" s="2206"/>
      <c r="WX7" s="2206"/>
      <c r="WY7" s="2206"/>
      <c r="WZ7" s="2206"/>
      <c r="XA7" s="2206"/>
      <c r="XB7" s="2206"/>
      <c r="XC7" s="2206"/>
      <c r="XD7" s="2206"/>
      <c r="XE7" s="2206"/>
      <c r="XF7" s="2206"/>
      <c r="XG7" s="2206"/>
      <c r="XH7" s="2206"/>
      <c r="XI7" s="2206"/>
      <c r="XJ7" s="2206"/>
      <c r="XK7" s="2206"/>
      <c r="XL7" s="2206"/>
      <c r="XM7" s="2206"/>
      <c r="XN7" s="2206"/>
      <c r="XO7" s="2206"/>
      <c r="XP7" s="2206"/>
      <c r="XQ7" s="2206"/>
      <c r="XR7" s="2206"/>
      <c r="XS7" s="2206"/>
      <c r="XT7" s="2206"/>
      <c r="XU7" s="2206"/>
      <c r="XV7" s="2206"/>
      <c r="XW7" s="2206"/>
      <c r="XX7" s="2206"/>
      <c r="XY7" s="2206"/>
      <c r="XZ7" s="2206"/>
      <c r="YA7" s="2206"/>
      <c r="YB7" s="2206"/>
      <c r="YC7" s="2206"/>
      <c r="YD7" s="2206"/>
      <c r="YE7" s="2206"/>
      <c r="YF7" s="2206"/>
      <c r="YG7" s="2206"/>
      <c r="YH7" s="2206"/>
      <c r="YI7" s="2206"/>
      <c r="YJ7" s="2206"/>
      <c r="YK7" s="2206"/>
      <c r="YL7" s="2206"/>
      <c r="YM7" s="2206"/>
      <c r="YN7" s="2206"/>
      <c r="YO7" s="2206"/>
      <c r="YP7" s="2206"/>
      <c r="YQ7" s="2206"/>
      <c r="YR7" s="2206"/>
      <c r="YS7" s="2206"/>
      <c r="YT7" s="2206"/>
      <c r="YU7" s="2206"/>
      <c r="YV7" s="2206"/>
      <c r="YW7" s="2206"/>
      <c r="YX7" s="2206"/>
      <c r="YY7" s="2206"/>
      <c r="YZ7" s="2206"/>
      <c r="ZA7" s="2206"/>
      <c r="ZB7" s="2206"/>
      <c r="ZC7" s="2206"/>
      <c r="ZD7" s="2206"/>
      <c r="ZE7" s="2206"/>
      <c r="ZF7" s="2206"/>
      <c r="ZG7" s="2206"/>
      <c r="ZH7" s="2206"/>
      <c r="ZI7" s="2206"/>
      <c r="ZJ7" s="2206"/>
      <c r="ZK7" s="2206"/>
      <c r="ZL7" s="2206"/>
      <c r="ZM7" s="2206"/>
      <c r="ZN7" s="2206"/>
      <c r="ZO7" s="2206"/>
      <c r="ZP7" s="2206"/>
      <c r="ZQ7" s="2206"/>
      <c r="ZR7" s="2206"/>
      <c r="ZS7" s="2206"/>
      <c r="ZT7" s="2206"/>
      <c r="ZU7" s="2206"/>
      <c r="ZV7" s="2206"/>
      <c r="ZW7" s="2206"/>
      <c r="ZX7" s="2206"/>
      <c r="ZY7" s="2206"/>
      <c r="ZZ7" s="2206"/>
      <c r="AAA7" s="2206"/>
      <c r="AAB7" s="2206"/>
      <c r="AAC7" s="2206"/>
      <c r="AAD7" s="2206"/>
      <c r="AAE7" s="2206"/>
      <c r="AAF7" s="2206"/>
      <c r="AAG7" s="2206"/>
      <c r="AAH7" s="2206"/>
      <c r="AAI7" s="2206"/>
      <c r="AAJ7" s="2206"/>
      <c r="AAK7" s="2206"/>
      <c r="AAL7" s="2206"/>
      <c r="AAM7" s="2206"/>
      <c r="AAN7" s="2206"/>
      <c r="AAO7" s="2206"/>
      <c r="AAP7" s="2206"/>
      <c r="AAQ7" s="2206"/>
      <c r="AAR7" s="2206"/>
      <c r="AAS7" s="2206"/>
      <c r="AAT7" s="2206"/>
      <c r="AAU7" s="2206"/>
      <c r="AAV7" s="2206"/>
      <c r="AAW7" s="2206"/>
      <c r="AAX7" s="2206"/>
      <c r="AAY7" s="2206"/>
      <c r="AAZ7" s="2206"/>
      <c r="ABA7" s="2206"/>
      <c r="ABB7" s="2206"/>
      <c r="ABC7" s="2206"/>
      <c r="ABD7" s="2206"/>
      <c r="ABE7" s="2206"/>
      <c r="ABF7" s="2206"/>
      <c r="ABG7" s="2206"/>
      <c r="ABH7" s="2206"/>
      <c r="ABI7" s="2206"/>
      <c r="ABJ7" s="2206"/>
      <c r="ABK7" s="2206"/>
      <c r="ABL7" s="2206"/>
      <c r="ABM7" s="2206"/>
      <c r="ABN7" s="2206"/>
      <c r="ABO7" s="2206"/>
      <c r="ABP7" s="2206"/>
      <c r="ABQ7" s="2206"/>
      <c r="ABR7" s="2206"/>
      <c r="ABS7" s="2206"/>
      <c r="ABT7" s="2206"/>
      <c r="ABU7" s="2206"/>
      <c r="ABV7" s="2206"/>
      <c r="ABW7" s="2206"/>
      <c r="ABX7" s="2206"/>
      <c r="ABY7" s="2206"/>
      <c r="ABZ7" s="2206"/>
      <c r="ACA7" s="2206"/>
      <c r="ACB7" s="2206"/>
      <c r="ACC7" s="2206"/>
      <c r="ACD7" s="2206"/>
      <c r="ACE7" s="2206"/>
      <c r="ACF7" s="2206"/>
      <c r="ACG7" s="2206"/>
      <c r="ACH7" s="2206"/>
      <c r="ACI7" s="2206"/>
      <c r="ACJ7" s="2206"/>
      <c r="ACK7" s="2206"/>
      <c r="ACL7" s="2206"/>
      <c r="ACM7" s="2206"/>
      <c r="ACN7" s="2206"/>
      <c r="ACO7" s="2206"/>
      <c r="ACP7" s="2206"/>
      <c r="ACQ7" s="2206"/>
      <c r="ACR7" s="2206"/>
      <c r="ACS7" s="2206"/>
      <c r="ACT7" s="2206"/>
      <c r="ACU7" s="2206"/>
      <c r="ACV7" s="2206"/>
      <c r="ACW7" s="2206"/>
      <c r="ACX7" s="2206"/>
      <c r="ACY7" s="2206"/>
      <c r="ACZ7" s="2206"/>
      <c r="ADA7" s="2206"/>
      <c r="ADB7" s="2206"/>
      <c r="ADC7" s="2206"/>
      <c r="ADD7" s="2206"/>
      <c r="ADE7" s="2206"/>
      <c r="ADF7" s="2206"/>
      <c r="ADG7" s="2206"/>
      <c r="ADH7" s="2206"/>
      <c r="ADI7" s="2206"/>
      <c r="ADJ7" s="2206"/>
      <c r="ADK7" s="2206"/>
      <c r="ADL7" s="2206"/>
      <c r="ADM7" s="2206"/>
      <c r="ADN7" s="2206"/>
      <c r="ADO7" s="2206"/>
      <c r="ADP7" s="2206"/>
      <c r="ADQ7" s="2206"/>
      <c r="ADR7" s="2206"/>
      <c r="ADS7" s="2206"/>
      <c r="ADT7" s="2206"/>
      <c r="ADU7" s="2206"/>
      <c r="ADV7" s="2206"/>
      <c r="ADW7" s="2206"/>
      <c r="ADX7" s="2206"/>
      <c r="ADY7" s="2206"/>
      <c r="ADZ7" s="2206"/>
      <c r="AEA7" s="2206"/>
      <c r="AEB7" s="2206"/>
      <c r="AEC7" s="2206"/>
      <c r="AED7" s="2206"/>
      <c r="AEE7" s="2206"/>
      <c r="AEF7" s="2206"/>
      <c r="AEG7" s="2206"/>
      <c r="AEH7" s="2206"/>
      <c r="AEI7" s="2206"/>
      <c r="AEJ7" s="2206"/>
      <c r="AEK7" s="2206"/>
      <c r="AEL7" s="2206"/>
      <c r="AEM7" s="2206"/>
      <c r="AEN7" s="2206"/>
      <c r="AEO7" s="2206"/>
      <c r="AEP7" s="2206"/>
      <c r="AEQ7" s="2206"/>
      <c r="AER7" s="2206"/>
      <c r="AES7" s="2206"/>
      <c r="AET7" s="2206"/>
      <c r="AEU7" s="2206"/>
      <c r="AEV7" s="2206"/>
      <c r="AEW7" s="2206"/>
      <c r="AEX7" s="2206"/>
      <c r="AEY7" s="2206"/>
      <c r="AEZ7" s="2206"/>
      <c r="AFA7" s="2206"/>
      <c r="AFB7" s="2206"/>
      <c r="AFC7" s="2206"/>
      <c r="AFD7" s="2206"/>
      <c r="AFE7" s="2206"/>
      <c r="AFF7" s="2206"/>
      <c r="AFG7" s="2206"/>
      <c r="AFH7" s="2206"/>
      <c r="AFI7" s="2206"/>
      <c r="AFJ7" s="2206"/>
      <c r="AFK7" s="2206"/>
      <c r="AFL7" s="2206"/>
      <c r="AFM7" s="2206"/>
      <c r="AFN7" s="2206"/>
      <c r="AFO7" s="2206"/>
      <c r="AFP7" s="2206"/>
      <c r="AFQ7" s="2206"/>
      <c r="AFR7" s="2206"/>
      <c r="AFS7" s="2206"/>
      <c r="AFT7" s="2206"/>
      <c r="AFU7" s="2206"/>
      <c r="AFV7" s="2206"/>
      <c r="AFW7" s="2206"/>
      <c r="AFX7" s="2206"/>
      <c r="AFY7" s="2206"/>
      <c r="AFZ7" s="2206"/>
      <c r="AGA7" s="2206"/>
      <c r="AGB7" s="2206"/>
      <c r="AGC7" s="2206"/>
      <c r="AGD7" s="2206"/>
      <c r="AGE7" s="2206"/>
      <c r="AGF7" s="2206"/>
      <c r="AGG7" s="2206"/>
      <c r="AGH7" s="2206"/>
      <c r="AGI7" s="2206"/>
      <c r="AGJ7" s="2206"/>
      <c r="AGK7" s="2206"/>
      <c r="AGL7" s="2206"/>
      <c r="AGM7" s="2206"/>
      <c r="AGN7" s="2206"/>
      <c r="AGO7" s="2206"/>
      <c r="AGP7" s="2206"/>
      <c r="AGQ7" s="2206"/>
      <c r="AGR7" s="2206"/>
      <c r="AGS7" s="2206"/>
      <c r="AGT7" s="2206"/>
      <c r="AGU7" s="2206"/>
      <c r="AGV7" s="2206"/>
      <c r="AGW7" s="2206"/>
      <c r="AGX7" s="2206"/>
      <c r="AGY7" s="2206"/>
      <c r="AGZ7" s="2206"/>
      <c r="AHA7" s="2206"/>
      <c r="AHB7" s="2206"/>
      <c r="AHC7" s="2206"/>
      <c r="AHD7" s="2206"/>
      <c r="AHE7" s="2206"/>
      <c r="AHF7" s="2206"/>
      <c r="AHG7" s="2206"/>
      <c r="AHH7" s="2206"/>
      <c r="AHI7" s="2206"/>
      <c r="AHJ7" s="2206"/>
      <c r="AHK7" s="2206"/>
      <c r="AHL7" s="2206"/>
      <c r="AHM7" s="2206"/>
      <c r="AHN7" s="2206"/>
      <c r="AHO7" s="2206"/>
      <c r="AHP7" s="2206"/>
      <c r="AHQ7" s="2206"/>
      <c r="AHR7" s="2206"/>
      <c r="AHS7" s="2206"/>
      <c r="AHT7" s="2206"/>
      <c r="AHU7" s="2206"/>
      <c r="AHV7" s="2206"/>
      <c r="AHW7" s="2206"/>
      <c r="AHX7" s="2206"/>
      <c r="AHY7" s="2206"/>
      <c r="AHZ7" s="2206"/>
      <c r="AIA7" s="2206"/>
      <c r="AIB7" s="2206"/>
      <c r="AIC7" s="2206"/>
      <c r="AID7" s="2206"/>
      <c r="AIE7" s="2206"/>
      <c r="AIF7" s="2206"/>
      <c r="AIG7" s="2206"/>
      <c r="AIH7" s="2206"/>
      <c r="AII7" s="2206"/>
      <c r="AIJ7" s="2206"/>
      <c r="AIK7" s="2206"/>
      <c r="AIL7" s="2206"/>
      <c r="AIM7" s="2206"/>
      <c r="AIN7" s="2206"/>
      <c r="AIO7" s="2206"/>
      <c r="AIP7" s="2206"/>
      <c r="AIQ7" s="2206"/>
      <c r="AIR7" s="2206"/>
      <c r="AIS7" s="2206"/>
      <c r="AIT7" s="2206"/>
      <c r="AIU7" s="2206"/>
      <c r="AIV7" s="2206"/>
      <c r="AIW7" s="2206"/>
      <c r="AIX7" s="2206"/>
      <c r="AIY7" s="2206"/>
      <c r="AIZ7" s="2206"/>
      <c r="AJA7" s="2206"/>
      <c r="AJB7" s="2206"/>
      <c r="AJC7" s="2206"/>
      <c r="AJD7" s="2206"/>
      <c r="AJE7" s="2206"/>
      <c r="AJF7" s="2206"/>
      <c r="AJG7" s="2206"/>
      <c r="AJH7" s="2206"/>
      <c r="AJI7" s="2206"/>
      <c r="AJJ7" s="2206"/>
      <c r="AJK7" s="2206"/>
      <c r="AJL7" s="2206"/>
      <c r="AJM7" s="2206"/>
      <c r="AJN7" s="2206"/>
      <c r="AJO7" s="2206"/>
      <c r="AJP7" s="2206"/>
      <c r="AJQ7" s="2206"/>
      <c r="AJR7" s="2206"/>
      <c r="AJS7" s="2206"/>
      <c r="AJT7" s="2206"/>
      <c r="AJU7" s="2206"/>
      <c r="AJV7" s="2206"/>
      <c r="AJW7" s="2206"/>
      <c r="AJX7" s="2206"/>
      <c r="AJY7" s="2206"/>
      <c r="AJZ7" s="2206"/>
      <c r="AKA7" s="2206"/>
      <c r="AKB7" s="2206"/>
      <c r="AKC7" s="2206"/>
      <c r="AKD7" s="2206"/>
      <c r="AKE7" s="2206"/>
      <c r="AKF7" s="2206"/>
      <c r="AKG7" s="2206"/>
      <c r="AKH7" s="2206"/>
      <c r="AKI7" s="2206"/>
      <c r="AKJ7" s="2206"/>
      <c r="AKK7" s="2206"/>
      <c r="AKL7" s="2206"/>
      <c r="AKM7" s="2206"/>
      <c r="AKN7" s="2206"/>
      <c r="AKO7" s="2206"/>
      <c r="AKP7" s="2206"/>
      <c r="AKQ7" s="2206"/>
      <c r="AKR7" s="2206"/>
      <c r="AKS7" s="2206"/>
      <c r="AKT7" s="2206"/>
      <c r="AKU7" s="2206"/>
      <c r="AKV7" s="2206"/>
      <c r="AKW7" s="2206"/>
      <c r="AKX7" s="2206"/>
      <c r="AKY7" s="2206"/>
      <c r="AKZ7" s="2206"/>
      <c r="ALA7" s="2206"/>
      <c r="ALB7" s="2206"/>
      <c r="ALC7" s="2206"/>
      <c r="ALD7" s="2206"/>
      <c r="ALE7" s="2206"/>
      <c r="ALF7" s="2206"/>
      <c r="ALG7" s="2206"/>
      <c r="ALH7" s="2206"/>
      <c r="ALI7" s="2206"/>
      <c r="ALJ7" s="2206"/>
      <c r="ALK7" s="2206"/>
      <c r="ALL7" s="2206"/>
      <c r="ALM7" s="2206"/>
      <c r="ALN7" s="2206"/>
      <c r="ALO7" s="2206"/>
      <c r="ALP7" s="2206"/>
      <c r="ALQ7" s="2206"/>
      <c r="ALR7" s="2206"/>
      <c r="ALS7" s="2206"/>
      <c r="ALT7" s="2206"/>
      <c r="ALU7" s="2206"/>
      <c r="ALV7" s="2206"/>
      <c r="ALW7" s="2206"/>
      <c r="ALX7" s="2206"/>
      <c r="ALY7" s="2206"/>
      <c r="ALZ7" s="2206"/>
      <c r="AMA7" s="2206"/>
      <c r="AMB7" s="2206"/>
      <c r="AMC7" s="2206"/>
      <c r="AMD7" s="2206"/>
      <c r="AME7" s="2206"/>
      <c r="AMF7" s="2206"/>
      <c r="AMG7" s="2206"/>
      <c r="AMH7" s="2206"/>
      <c r="AMI7" s="2206"/>
      <c r="AMJ7" s="2206"/>
      <c r="AMK7" s="2206"/>
      <c r="AML7" s="2206"/>
      <c r="AMM7" s="2206"/>
      <c r="AMN7" s="2206"/>
      <c r="AMO7" s="2206"/>
      <c r="AMP7" s="2206"/>
      <c r="AMQ7" s="2206"/>
      <c r="AMR7" s="2206"/>
      <c r="AMS7" s="2206"/>
      <c r="AMT7" s="2206"/>
      <c r="AMU7" s="2206"/>
      <c r="AMV7" s="2206"/>
      <c r="AMW7" s="2206"/>
      <c r="AMX7" s="2206"/>
      <c r="AMY7" s="2206"/>
      <c r="AMZ7" s="2206"/>
      <c r="ANA7" s="2206"/>
      <c r="ANB7" s="2206"/>
      <c r="ANC7" s="2206"/>
      <c r="AND7" s="2206"/>
      <c r="ANE7" s="2206"/>
      <c r="ANF7" s="2206"/>
      <c r="ANG7" s="2206"/>
      <c r="ANH7" s="2206"/>
      <c r="ANI7" s="2206"/>
      <c r="ANJ7" s="2206"/>
      <c r="ANK7" s="2206"/>
      <c r="ANL7" s="2206"/>
      <c r="ANM7" s="2206"/>
      <c r="ANN7" s="2206"/>
      <c r="ANO7" s="2206"/>
      <c r="ANP7" s="2206"/>
      <c r="ANQ7" s="2206"/>
      <c r="ANR7" s="2206"/>
      <c r="ANS7" s="2206"/>
      <c r="ANT7" s="2206"/>
      <c r="ANU7" s="2206"/>
      <c r="ANV7" s="2206"/>
      <c r="ANW7" s="2206"/>
      <c r="ANX7" s="2206"/>
      <c r="ANY7" s="2206"/>
      <c r="ANZ7" s="2206"/>
      <c r="AOA7" s="2206"/>
      <c r="AOB7" s="2206"/>
      <c r="AOC7" s="2206"/>
      <c r="AOD7" s="2206"/>
      <c r="AOE7" s="2206"/>
      <c r="AOF7" s="2206"/>
      <c r="AOG7" s="2206"/>
      <c r="AOH7" s="2206"/>
      <c r="AOI7" s="2206"/>
      <c r="AOJ7" s="2206"/>
      <c r="AOK7" s="2206"/>
      <c r="AOL7" s="2206"/>
      <c r="AOM7" s="2206"/>
      <c r="AON7" s="2206"/>
      <c r="AOO7" s="2206"/>
      <c r="AOP7" s="2206"/>
      <c r="AOQ7" s="2206"/>
      <c r="AOR7" s="2206"/>
      <c r="AOS7" s="2206"/>
      <c r="AOT7" s="2206"/>
      <c r="AOU7" s="2206"/>
      <c r="AOV7" s="2206"/>
      <c r="AOW7" s="2206"/>
      <c r="AOX7" s="2206"/>
      <c r="AOY7" s="2206"/>
      <c r="AOZ7" s="2206"/>
      <c r="APA7" s="2206"/>
      <c r="APB7" s="2206"/>
      <c r="APC7" s="2206"/>
      <c r="APD7" s="2206"/>
      <c r="APE7" s="2206"/>
      <c r="APF7" s="2206"/>
      <c r="APG7" s="2206"/>
      <c r="APH7" s="2206"/>
      <c r="API7" s="2206"/>
      <c r="APJ7" s="2206"/>
      <c r="APK7" s="2206"/>
      <c r="APL7" s="2206"/>
      <c r="APM7" s="2206"/>
      <c r="APN7" s="2206"/>
      <c r="APO7" s="2206"/>
      <c r="APP7" s="2206"/>
      <c r="APQ7" s="2206"/>
      <c r="APR7" s="2206"/>
      <c r="APS7" s="2206"/>
      <c r="APT7" s="2206"/>
      <c r="APU7" s="2206"/>
      <c r="APV7" s="2206"/>
      <c r="APW7" s="2206"/>
      <c r="APX7" s="2206"/>
      <c r="APY7" s="2206"/>
      <c r="APZ7" s="2206"/>
      <c r="AQA7" s="2206"/>
      <c r="AQB7" s="2206"/>
      <c r="AQC7" s="2206"/>
      <c r="AQD7" s="2206"/>
      <c r="AQE7" s="2206"/>
      <c r="AQF7" s="2206"/>
      <c r="AQG7" s="2206"/>
      <c r="AQH7" s="2206"/>
      <c r="AQI7" s="2206"/>
      <c r="AQJ7" s="2206"/>
      <c r="AQK7" s="2206"/>
      <c r="AQL7" s="2206"/>
      <c r="AQM7" s="2206"/>
      <c r="AQN7" s="2206"/>
      <c r="AQO7" s="2206"/>
      <c r="AQP7" s="2206"/>
      <c r="AQQ7" s="2206"/>
      <c r="AQR7" s="2206"/>
      <c r="AQS7" s="2206"/>
      <c r="AQT7" s="2206"/>
      <c r="AQU7" s="2206"/>
      <c r="AQV7" s="2206"/>
      <c r="AQW7" s="2206"/>
      <c r="AQX7" s="2206"/>
      <c r="AQY7" s="2206"/>
      <c r="AQZ7" s="2206"/>
      <c r="ARA7" s="2206"/>
      <c r="ARB7" s="2206"/>
      <c r="ARC7" s="2206"/>
      <c r="ARD7" s="2206"/>
      <c r="ARE7" s="2206"/>
      <c r="ARF7" s="2206"/>
      <c r="ARG7" s="2206"/>
      <c r="ARH7" s="2206"/>
      <c r="ARI7" s="2206"/>
      <c r="ARJ7" s="2206"/>
      <c r="ARK7" s="2206"/>
      <c r="ARL7" s="2206"/>
      <c r="ARM7" s="2206"/>
      <c r="ARN7" s="2206"/>
      <c r="ARO7" s="2206"/>
      <c r="ARP7" s="2206"/>
      <c r="ARQ7" s="2206"/>
      <c r="ARR7" s="2206"/>
      <c r="ARS7" s="2206"/>
      <c r="ART7" s="2206"/>
      <c r="ARU7" s="2206"/>
      <c r="ARV7" s="2206"/>
      <c r="ARW7" s="2206"/>
      <c r="ARX7" s="2206"/>
      <c r="ARY7" s="2206"/>
      <c r="ARZ7" s="2206"/>
      <c r="ASA7" s="2206"/>
      <c r="ASB7" s="2206"/>
      <c r="ASC7" s="2206"/>
      <c r="ASD7" s="2206"/>
      <c r="ASE7" s="2206"/>
      <c r="ASF7" s="2206"/>
      <c r="ASG7" s="2206"/>
      <c r="ASH7" s="2206"/>
      <c r="ASI7" s="2206"/>
      <c r="ASJ7" s="2206"/>
      <c r="ASK7" s="2206"/>
      <c r="ASL7" s="2206"/>
      <c r="ASM7" s="2206"/>
      <c r="ASN7" s="2206"/>
      <c r="ASO7" s="2206"/>
      <c r="ASP7" s="2206"/>
      <c r="ASQ7" s="2206"/>
      <c r="ASR7" s="2206"/>
      <c r="ASS7" s="2206"/>
      <c r="AST7" s="2206"/>
      <c r="ASU7" s="2206"/>
      <c r="ASV7" s="2206"/>
      <c r="ASW7" s="2206"/>
      <c r="ASX7" s="2206"/>
      <c r="ASY7" s="2206"/>
      <c r="ASZ7" s="2206"/>
      <c r="ATA7" s="2206"/>
      <c r="ATB7" s="2206"/>
      <c r="ATC7" s="2206"/>
      <c r="ATD7" s="2206"/>
      <c r="ATE7" s="2206"/>
      <c r="ATF7" s="2206"/>
      <c r="ATG7" s="2206"/>
      <c r="ATH7" s="2206"/>
      <c r="ATI7" s="2206"/>
      <c r="ATJ7" s="2206"/>
      <c r="ATK7" s="2206"/>
      <c r="ATL7" s="2206"/>
      <c r="ATM7" s="2206"/>
      <c r="ATN7" s="2206"/>
      <c r="ATO7" s="2206"/>
      <c r="ATP7" s="2206"/>
      <c r="ATQ7" s="2206"/>
      <c r="ATR7" s="2206"/>
      <c r="ATS7" s="2206"/>
      <c r="ATT7" s="2206"/>
      <c r="ATU7" s="2206"/>
      <c r="ATV7" s="2206"/>
      <c r="ATW7" s="2206"/>
      <c r="ATX7" s="2206"/>
      <c r="ATY7" s="2206"/>
      <c r="ATZ7" s="2206"/>
      <c r="AUA7" s="2206"/>
      <c r="AUB7" s="2206"/>
      <c r="AUC7" s="2206"/>
      <c r="AUD7" s="2206"/>
      <c r="AUE7" s="2206"/>
      <c r="AUF7" s="2206"/>
      <c r="AUG7" s="2206"/>
      <c r="AUH7" s="2206"/>
      <c r="AUI7" s="2206"/>
      <c r="AUJ7" s="2206"/>
      <c r="AUK7" s="2206"/>
      <c r="AUL7" s="2206"/>
      <c r="AUM7" s="2206"/>
      <c r="AUN7" s="2206"/>
      <c r="AUO7" s="2206"/>
      <c r="AUP7" s="2206"/>
      <c r="AUQ7" s="2206"/>
      <c r="AUR7" s="2206"/>
      <c r="AUS7" s="2206"/>
      <c r="AUT7" s="2206"/>
      <c r="AUU7" s="2206"/>
      <c r="AUV7" s="2206"/>
      <c r="AUW7" s="2206"/>
      <c r="AUX7" s="2206"/>
      <c r="AUY7" s="2206"/>
      <c r="AUZ7" s="2206"/>
      <c r="AVA7" s="2206"/>
      <c r="AVB7" s="2206"/>
      <c r="AVC7" s="2206"/>
      <c r="AVD7" s="2206"/>
      <c r="AVE7" s="2206"/>
      <c r="AVF7" s="2206"/>
      <c r="AVG7" s="2206"/>
      <c r="AVH7" s="2206"/>
      <c r="AVI7" s="2206"/>
      <c r="AVJ7" s="2206"/>
      <c r="AVK7" s="2206"/>
      <c r="AVL7" s="2206"/>
      <c r="AVM7" s="2206"/>
      <c r="AVN7" s="2206"/>
      <c r="AVO7" s="2206"/>
      <c r="AVP7" s="2206"/>
      <c r="AVQ7" s="2206"/>
      <c r="AVR7" s="2206"/>
      <c r="AVS7" s="2206"/>
      <c r="AVT7" s="2206"/>
      <c r="AVU7" s="2206"/>
      <c r="AVV7" s="2206"/>
      <c r="AVW7" s="2206"/>
      <c r="AVX7" s="2206"/>
      <c r="AVY7" s="2206"/>
      <c r="AVZ7" s="2206"/>
      <c r="AWA7" s="2206"/>
      <c r="AWB7" s="2206"/>
      <c r="AWC7" s="2206"/>
      <c r="AWD7" s="2206"/>
      <c r="AWE7" s="2206"/>
      <c r="AWF7" s="2206"/>
      <c r="AWG7" s="2206"/>
      <c r="AWH7" s="2206"/>
      <c r="AWI7" s="2206"/>
      <c r="AWJ7" s="2206"/>
      <c r="AWK7" s="2206"/>
      <c r="AWL7" s="2206"/>
      <c r="AWM7" s="2206"/>
      <c r="AWN7" s="2206"/>
      <c r="AWO7" s="2206"/>
      <c r="AWP7" s="2206"/>
      <c r="AWQ7" s="2206"/>
      <c r="AWR7" s="2206"/>
      <c r="AWS7" s="2206"/>
      <c r="AWT7" s="2206"/>
      <c r="AWU7" s="2206"/>
      <c r="AWV7" s="2206"/>
      <c r="AWW7" s="2206"/>
      <c r="AWX7" s="2206"/>
      <c r="AWY7" s="2206"/>
      <c r="AWZ7" s="2206"/>
      <c r="AXA7" s="2206"/>
      <c r="AXB7" s="2206"/>
      <c r="AXC7" s="2206"/>
      <c r="AXD7" s="2206"/>
      <c r="AXE7" s="2206"/>
      <c r="AXF7" s="2206"/>
      <c r="AXG7" s="2206"/>
      <c r="AXH7" s="2206"/>
      <c r="AXI7" s="2206"/>
      <c r="AXJ7" s="2206"/>
      <c r="AXK7" s="2206"/>
      <c r="AXL7" s="2206"/>
      <c r="AXM7" s="2206"/>
      <c r="AXN7" s="2206"/>
      <c r="AXO7" s="2206"/>
      <c r="AXP7" s="2206"/>
      <c r="AXQ7" s="2206"/>
      <c r="AXR7" s="2206"/>
      <c r="AXS7" s="2206"/>
      <c r="AXT7" s="2206"/>
      <c r="AXU7" s="2206"/>
      <c r="AXV7" s="2206"/>
      <c r="AXW7" s="2206"/>
      <c r="AXX7" s="2206"/>
      <c r="AXY7" s="2206"/>
      <c r="AXZ7" s="2206"/>
      <c r="AYA7" s="2206"/>
      <c r="AYB7" s="2206"/>
      <c r="AYC7" s="2206"/>
      <c r="AYD7" s="2206"/>
      <c r="AYE7" s="2206"/>
      <c r="AYF7" s="2206"/>
      <c r="AYG7" s="2206"/>
      <c r="AYH7" s="2206"/>
      <c r="AYI7" s="2206"/>
      <c r="AYJ7" s="2206"/>
      <c r="AYK7" s="2206"/>
      <c r="AYL7" s="2206"/>
      <c r="AYM7" s="2206"/>
      <c r="AYN7" s="2206"/>
      <c r="AYO7" s="2206"/>
      <c r="AYP7" s="2206"/>
      <c r="AYQ7" s="2206"/>
      <c r="AYR7" s="2206"/>
      <c r="AYS7" s="2206"/>
      <c r="AYT7" s="2206"/>
      <c r="AYU7" s="2206"/>
      <c r="AYV7" s="2206"/>
      <c r="AYW7" s="2206"/>
      <c r="AYX7" s="2206"/>
      <c r="AYY7" s="2206"/>
      <c r="AYZ7" s="2206"/>
      <c r="AZA7" s="2206"/>
      <c r="AZB7" s="2206"/>
      <c r="AZC7" s="2206"/>
      <c r="AZD7" s="2206"/>
      <c r="AZE7" s="2206"/>
      <c r="AZF7" s="2206"/>
      <c r="AZG7" s="2206"/>
      <c r="AZH7" s="2206"/>
      <c r="AZI7" s="2206"/>
      <c r="AZJ7" s="2206"/>
      <c r="AZK7" s="2206"/>
      <c r="AZL7" s="2206"/>
      <c r="AZM7" s="2206"/>
      <c r="AZN7" s="2206"/>
      <c r="AZO7" s="2206"/>
      <c r="AZP7" s="2206"/>
      <c r="AZQ7" s="2206"/>
      <c r="AZR7" s="2206"/>
      <c r="AZS7" s="2206"/>
      <c r="AZT7" s="2206"/>
      <c r="AZU7" s="2206"/>
      <c r="AZV7" s="2206"/>
      <c r="AZW7" s="2206"/>
      <c r="AZX7" s="2206"/>
      <c r="AZY7" s="2206"/>
      <c r="AZZ7" s="2206"/>
      <c r="BAA7" s="2206"/>
      <c r="BAB7" s="2206"/>
      <c r="BAC7" s="2206"/>
      <c r="BAD7" s="2206"/>
      <c r="BAE7" s="2206"/>
      <c r="BAF7" s="2206"/>
      <c r="BAG7" s="2206"/>
      <c r="BAH7" s="2206"/>
      <c r="BAI7" s="2206"/>
      <c r="BAJ7" s="2206"/>
      <c r="BAK7" s="2206"/>
      <c r="BAL7" s="2206"/>
      <c r="BAM7" s="2206"/>
      <c r="BAN7" s="2206"/>
      <c r="BAO7" s="2206"/>
      <c r="BAP7" s="2206"/>
      <c r="BAQ7" s="2206"/>
      <c r="BAR7" s="2206"/>
      <c r="BAS7" s="2206"/>
      <c r="BAT7" s="2206"/>
      <c r="BAU7" s="2206"/>
      <c r="BAV7" s="2206"/>
      <c r="BAW7" s="2206"/>
      <c r="BAX7" s="2206"/>
      <c r="BAY7" s="2206"/>
      <c r="BAZ7" s="2206"/>
      <c r="BBA7" s="2206"/>
      <c r="BBB7" s="2206"/>
      <c r="BBC7" s="2206"/>
      <c r="BBD7" s="2206"/>
      <c r="BBE7" s="2206"/>
      <c r="BBF7" s="2206"/>
      <c r="BBG7" s="2206"/>
      <c r="BBH7" s="2206"/>
      <c r="BBI7" s="2206"/>
      <c r="BBJ7" s="2206"/>
      <c r="BBK7" s="2206"/>
      <c r="BBL7" s="2206"/>
      <c r="BBM7" s="2206"/>
      <c r="BBN7" s="2206"/>
      <c r="BBO7" s="2206"/>
      <c r="BBP7" s="2206"/>
      <c r="BBQ7" s="2206"/>
      <c r="BBR7" s="2206"/>
      <c r="BBS7" s="2206"/>
      <c r="BBT7" s="2206"/>
      <c r="BBU7" s="2206"/>
      <c r="BBV7" s="2206"/>
      <c r="BBW7" s="2206"/>
      <c r="BBX7" s="2206"/>
      <c r="BBY7" s="2206"/>
      <c r="BBZ7" s="2206"/>
      <c r="BCA7" s="2206"/>
      <c r="BCB7" s="2206"/>
      <c r="BCC7" s="2206"/>
      <c r="BCD7" s="2206"/>
      <c r="BCE7" s="2206"/>
      <c r="BCF7" s="2206"/>
      <c r="BCG7" s="2206"/>
      <c r="BCH7" s="2206"/>
      <c r="BCI7" s="2206"/>
      <c r="BCJ7" s="2206"/>
      <c r="BCK7" s="2206"/>
      <c r="BCL7" s="2206"/>
      <c r="BCM7" s="2206"/>
      <c r="BCN7" s="2206"/>
      <c r="BCO7" s="2206"/>
      <c r="BCP7" s="2206"/>
      <c r="BCQ7" s="2206"/>
      <c r="BCR7" s="2206"/>
      <c r="BCS7" s="2206"/>
      <c r="BCT7" s="2206"/>
      <c r="BCU7" s="2206"/>
      <c r="BCV7" s="2206"/>
      <c r="BCW7" s="2206"/>
      <c r="BCX7" s="2206"/>
      <c r="BCY7" s="2206"/>
      <c r="BCZ7" s="2206"/>
      <c r="BDA7" s="2206"/>
      <c r="BDB7" s="2206"/>
      <c r="BDC7" s="2206"/>
      <c r="BDD7" s="2206"/>
      <c r="BDE7" s="2206"/>
      <c r="BDF7" s="2206"/>
      <c r="BDG7" s="2206"/>
      <c r="BDH7" s="2206"/>
      <c r="BDI7" s="2206"/>
      <c r="BDJ7" s="2206"/>
      <c r="BDK7" s="2206"/>
      <c r="BDL7" s="2206"/>
      <c r="BDM7" s="2206"/>
      <c r="BDN7" s="2206"/>
      <c r="BDO7" s="2206"/>
      <c r="BDP7" s="2206"/>
      <c r="BDQ7" s="2206"/>
      <c r="BDR7" s="2206"/>
      <c r="BDS7" s="2206"/>
      <c r="BDT7" s="2206"/>
      <c r="BDU7" s="2206"/>
      <c r="BDV7" s="2206"/>
      <c r="BDW7" s="2206"/>
      <c r="BDX7" s="2206"/>
      <c r="BDY7" s="2206"/>
      <c r="BDZ7" s="2206"/>
      <c r="BEA7" s="2206"/>
      <c r="BEB7" s="2206"/>
      <c r="BEC7" s="2206"/>
      <c r="BED7" s="2206"/>
      <c r="BEE7" s="2206"/>
      <c r="BEF7" s="2206"/>
      <c r="BEG7" s="2206"/>
      <c r="BEH7" s="2206"/>
      <c r="BEI7" s="2206"/>
      <c r="BEJ7" s="2206"/>
      <c r="BEK7" s="2206"/>
      <c r="BEL7" s="2206"/>
      <c r="BEM7" s="2206"/>
      <c r="BEN7" s="2206"/>
      <c r="BEO7" s="2206"/>
      <c r="BEP7" s="2206"/>
      <c r="BEQ7" s="2206"/>
      <c r="BER7" s="2206"/>
      <c r="BES7" s="2206"/>
      <c r="BET7" s="2206"/>
      <c r="BEU7" s="2206"/>
      <c r="BEV7" s="2206"/>
      <c r="BEW7" s="2206"/>
      <c r="BEX7" s="2206"/>
      <c r="BEY7" s="2206"/>
      <c r="BEZ7" s="2206"/>
      <c r="BFA7" s="2206"/>
      <c r="BFB7" s="2206"/>
      <c r="BFC7" s="2206"/>
      <c r="BFD7" s="2206"/>
      <c r="BFE7" s="2206"/>
      <c r="BFF7" s="2206"/>
      <c r="BFG7" s="2206"/>
      <c r="BFH7" s="2206"/>
      <c r="BFI7" s="2206"/>
      <c r="BFJ7" s="2206"/>
      <c r="BFK7" s="2206"/>
      <c r="BFL7" s="2206"/>
      <c r="BFM7" s="2206"/>
      <c r="BFN7" s="2206"/>
      <c r="BFO7" s="2206"/>
      <c r="BFP7" s="2206"/>
      <c r="BFQ7" s="2206"/>
      <c r="BFR7" s="2206"/>
      <c r="BFS7" s="2206"/>
      <c r="BFT7" s="2206"/>
      <c r="BFU7" s="2206"/>
      <c r="BFV7" s="2206"/>
      <c r="BFW7" s="2206"/>
      <c r="BFX7" s="2206"/>
      <c r="BFY7" s="2206"/>
      <c r="BFZ7" s="2206"/>
      <c r="BGA7" s="2206"/>
      <c r="BGB7" s="2206"/>
      <c r="BGC7" s="2206"/>
      <c r="BGD7" s="2206"/>
      <c r="BGE7" s="2206"/>
      <c r="BGF7" s="2206"/>
      <c r="BGG7" s="2206"/>
      <c r="BGH7" s="2206"/>
      <c r="BGI7" s="2206"/>
      <c r="BGJ7" s="2206"/>
      <c r="BGK7" s="2206"/>
      <c r="BGL7" s="2206"/>
      <c r="BGM7" s="2206"/>
      <c r="BGN7" s="2206"/>
      <c r="BGO7" s="2206"/>
      <c r="BGP7" s="2206"/>
      <c r="BGQ7" s="2206"/>
      <c r="BGR7" s="2206"/>
      <c r="BGS7" s="2206"/>
      <c r="BGT7" s="2206"/>
      <c r="BGU7" s="2206"/>
      <c r="BGV7" s="2206"/>
      <c r="BGW7" s="2206"/>
      <c r="BGX7" s="2206"/>
      <c r="BGY7" s="2206"/>
      <c r="BGZ7" s="2206"/>
      <c r="BHA7" s="2206"/>
      <c r="BHB7" s="2206"/>
      <c r="BHC7" s="2206"/>
      <c r="BHD7" s="2206"/>
      <c r="BHE7" s="2206"/>
      <c r="BHF7" s="2206"/>
      <c r="BHG7" s="2206"/>
      <c r="BHH7" s="2206"/>
      <c r="BHI7" s="2206"/>
      <c r="BHJ7" s="2206"/>
      <c r="BHK7" s="2206"/>
      <c r="BHL7" s="2206"/>
      <c r="BHM7" s="2206"/>
      <c r="BHN7" s="2206"/>
      <c r="BHO7" s="2206"/>
      <c r="BHP7" s="2206"/>
      <c r="BHQ7" s="2206"/>
      <c r="BHR7" s="2206"/>
      <c r="BHS7" s="2206"/>
      <c r="BHT7" s="2206"/>
      <c r="BHU7" s="2206"/>
      <c r="BHV7" s="2206"/>
      <c r="BHW7" s="2206"/>
      <c r="BHX7" s="2206"/>
      <c r="BHY7" s="2206"/>
      <c r="BHZ7" s="2206"/>
      <c r="BIA7" s="2206"/>
      <c r="BIB7" s="2206"/>
      <c r="BIC7" s="2206"/>
      <c r="BID7" s="2206"/>
      <c r="BIE7" s="2206"/>
      <c r="BIF7" s="2206"/>
      <c r="BIG7" s="2206"/>
      <c r="BIH7" s="2206"/>
      <c r="BII7" s="2206"/>
      <c r="BIJ7" s="2206"/>
      <c r="BIK7" s="2206"/>
      <c r="BIL7" s="2206"/>
      <c r="BIM7" s="2206"/>
      <c r="BIN7" s="2206"/>
      <c r="BIO7" s="2206"/>
      <c r="BIP7" s="2206"/>
      <c r="BIQ7" s="2206"/>
      <c r="BIR7" s="2206"/>
      <c r="BIS7" s="2206"/>
      <c r="BIT7" s="2206"/>
      <c r="BIU7" s="2206"/>
      <c r="BIV7" s="2206"/>
      <c r="BIW7" s="2206"/>
      <c r="BIX7" s="2206"/>
      <c r="BIY7" s="2206"/>
      <c r="BIZ7" s="2206"/>
      <c r="BJA7" s="2206"/>
      <c r="BJB7" s="2206"/>
      <c r="BJC7" s="2206"/>
      <c r="BJD7" s="2206"/>
      <c r="BJE7" s="2206"/>
      <c r="BJF7" s="2206"/>
      <c r="BJG7" s="2206"/>
      <c r="BJH7" s="2206"/>
      <c r="BJI7" s="2206"/>
      <c r="BJJ7" s="2206"/>
      <c r="BJK7" s="2206"/>
      <c r="BJL7" s="2206"/>
      <c r="BJM7" s="2206"/>
      <c r="BJN7" s="2206"/>
      <c r="BJO7" s="2206"/>
      <c r="BJP7" s="2206"/>
      <c r="BJQ7" s="2206"/>
      <c r="BJR7" s="2206"/>
      <c r="BJS7" s="2206"/>
      <c r="BJT7" s="2206"/>
      <c r="BJU7" s="2206"/>
      <c r="BJV7" s="2206"/>
      <c r="BJW7" s="2206"/>
      <c r="BJX7" s="2206"/>
      <c r="BJY7" s="2206"/>
      <c r="BJZ7" s="2206"/>
      <c r="BKA7" s="2206"/>
      <c r="BKB7" s="2206"/>
      <c r="BKC7" s="2206"/>
      <c r="BKD7" s="2206"/>
      <c r="BKE7" s="2206"/>
      <c r="BKF7" s="2206"/>
      <c r="BKG7" s="2206"/>
      <c r="BKH7" s="2206"/>
      <c r="BKI7" s="2206"/>
      <c r="BKJ7" s="2206"/>
      <c r="BKK7" s="2206"/>
      <c r="BKL7" s="2206"/>
      <c r="BKM7" s="2206"/>
      <c r="BKN7" s="2206"/>
      <c r="BKO7" s="2206"/>
      <c r="BKP7" s="2206"/>
      <c r="BKQ7" s="2206"/>
      <c r="BKR7" s="2206"/>
      <c r="BKS7" s="2206"/>
      <c r="BKT7" s="2206"/>
      <c r="BKU7" s="2206"/>
      <c r="BKV7" s="2206"/>
      <c r="BKW7" s="2206"/>
      <c r="BKX7" s="2206"/>
      <c r="BKY7" s="2206"/>
      <c r="BKZ7" s="2206"/>
      <c r="BLA7" s="2206"/>
      <c r="BLB7" s="2206"/>
      <c r="BLC7" s="2206"/>
      <c r="BLD7" s="2206"/>
      <c r="BLE7" s="2206"/>
      <c r="BLF7" s="2206"/>
      <c r="BLG7" s="2206"/>
      <c r="BLH7" s="2206"/>
      <c r="BLI7" s="2206"/>
      <c r="BLJ7" s="2206"/>
      <c r="BLK7" s="2206"/>
      <c r="BLL7" s="2206"/>
      <c r="BLM7" s="2206"/>
      <c r="BLN7" s="2206"/>
      <c r="BLO7" s="2206"/>
      <c r="BLP7" s="2206"/>
      <c r="BLQ7" s="2206"/>
      <c r="BLR7" s="2206"/>
      <c r="BLS7" s="2206"/>
      <c r="BLT7" s="2206"/>
      <c r="BLU7" s="2206"/>
      <c r="BLV7" s="2206"/>
      <c r="BLW7" s="2206"/>
      <c r="BLX7" s="2206"/>
      <c r="BLY7" s="2206"/>
      <c r="BLZ7" s="2206"/>
      <c r="BMA7" s="2206"/>
      <c r="BMB7" s="2206"/>
      <c r="BMC7" s="2206"/>
      <c r="BMD7" s="2206"/>
      <c r="BME7" s="2206"/>
      <c r="BMF7" s="2206"/>
      <c r="BMG7" s="2206"/>
      <c r="BMH7" s="2206"/>
      <c r="BMI7" s="2206"/>
      <c r="BMJ7" s="2206"/>
      <c r="BMK7" s="2206"/>
      <c r="BML7" s="2206"/>
      <c r="BMM7" s="2206"/>
      <c r="BMN7" s="2206"/>
      <c r="BMO7" s="2206"/>
      <c r="BMP7" s="2206"/>
      <c r="BMQ7" s="2206"/>
      <c r="BMR7" s="2206"/>
      <c r="BMS7" s="2206"/>
      <c r="BMT7" s="2206"/>
      <c r="BMU7" s="2206"/>
      <c r="BMV7" s="2206"/>
      <c r="BMW7" s="2206"/>
      <c r="BMX7" s="2206"/>
      <c r="BMY7" s="2206"/>
      <c r="BMZ7" s="2206"/>
      <c r="BNA7" s="2206"/>
      <c r="BNB7" s="2206"/>
      <c r="BNC7" s="2206"/>
      <c r="BND7" s="2206"/>
      <c r="BNE7" s="2206"/>
      <c r="BNF7" s="2206"/>
      <c r="BNG7" s="2206"/>
      <c r="BNH7" s="2206"/>
      <c r="BNI7" s="2206"/>
      <c r="BNJ7" s="2206"/>
      <c r="BNK7" s="2206"/>
      <c r="BNL7" s="2206"/>
      <c r="BNM7" s="2206"/>
      <c r="BNN7" s="2206"/>
      <c r="BNO7" s="2206"/>
      <c r="BNP7" s="2206"/>
      <c r="BNQ7" s="2206"/>
      <c r="BNR7" s="2206"/>
      <c r="BNS7" s="2206"/>
      <c r="BNT7" s="2206"/>
      <c r="BNU7" s="2206"/>
      <c r="BNV7" s="2206"/>
      <c r="BNW7" s="2206"/>
      <c r="BNX7" s="2206"/>
      <c r="BNY7" s="2206"/>
      <c r="BNZ7" s="2206"/>
      <c r="BOA7" s="2206"/>
      <c r="BOB7" s="2206"/>
      <c r="BOC7" s="2206"/>
      <c r="BOD7" s="2206"/>
      <c r="BOE7" s="2206"/>
      <c r="BOF7" s="2206"/>
      <c r="BOG7" s="2206"/>
      <c r="BOH7" s="2206"/>
      <c r="BOI7" s="2206"/>
      <c r="BOJ7" s="2206"/>
      <c r="BOK7" s="2206"/>
      <c r="BOL7" s="2206"/>
      <c r="BOM7" s="2206"/>
      <c r="BON7" s="2206"/>
      <c r="BOO7" s="2206"/>
      <c r="BOP7" s="2206"/>
      <c r="BOQ7" s="2206"/>
      <c r="BOR7" s="2206"/>
      <c r="BOS7" s="2206"/>
      <c r="BOT7" s="2206"/>
      <c r="BOU7" s="2206"/>
      <c r="BOV7" s="2206"/>
      <c r="BOW7" s="2206"/>
      <c r="BOX7" s="2206"/>
      <c r="BOY7" s="2206"/>
      <c r="BOZ7" s="2206"/>
      <c r="BPA7" s="2206"/>
      <c r="BPB7" s="2206"/>
      <c r="BPC7" s="2206"/>
      <c r="BPD7" s="2206"/>
      <c r="BPE7" s="2206"/>
      <c r="BPF7" s="2206"/>
      <c r="BPG7" s="2206"/>
      <c r="BPH7" s="2206"/>
      <c r="BPI7" s="2206"/>
      <c r="BPJ7" s="2206"/>
      <c r="BPK7" s="2206"/>
      <c r="BPL7" s="2206"/>
      <c r="BPM7" s="2206"/>
      <c r="BPN7" s="2206"/>
      <c r="BPO7" s="2206"/>
      <c r="BPP7" s="2206"/>
      <c r="BPQ7" s="2206"/>
      <c r="BPR7" s="2206"/>
      <c r="BPS7" s="2206"/>
      <c r="BPT7" s="2206"/>
      <c r="BPU7" s="2206"/>
      <c r="BPV7" s="2206"/>
      <c r="BPW7" s="2206"/>
      <c r="BPX7" s="2206"/>
      <c r="BPY7" s="2206"/>
      <c r="BPZ7" s="2206"/>
      <c r="BQA7" s="2206"/>
      <c r="BQB7" s="2206"/>
      <c r="BQC7" s="2206"/>
      <c r="BQD7" s="2206"/>
      <c r="BQE7" s="2206"/>
      <c r="BQF7" s="2206"/>
      <c r="BQG7" s="2206"/>
      <c r="BQH7" s="2206"/>
      <c r="BQI7" s="2206"/>
      <c r="BQJ7" s="2206"/>
      <c r="BQK7" s="2206"/>
      <c r="BQL7" s="2206"/>
      <c r="BQM7" s="2206"/>
      <c r="BQN7" s="2206"/>
      <c r="BQO7" s="2206"/>
      <c r="BQP7" s="2206"/>
      <c r="BQQ7" s="2206"/>
      <c r="BQR7" s="2206"/>
      <c r="BQS7" s="2206"/>
      <c r="BQT7" s="2206"/>
      <c r="BQU7" s="2206"/>
      <c r="BQV7" s="2206"/>
      <c r="BQW7" s="2206"/>
      <c r="BQX7" s="2206"/>
      <c r="BQY7" s="2206"/>
      <c r="BQZ7" s="2206"/>
      <c r="BRA7" s="2206"/>
      <c r="BRB7" s="2206"/>
      <c r="BRC7" s="2206"/>
      <c r="BRD7" s="2206"/>
      <c r="BRE7" s="2206"/>
      <c r="BRF7" s="2206"/>
      <c r="BRG7" s="2206"/>
      <c r="BRH7" s="2206"/>
      <c r="BRI7" s="2206"/>
      <c r="BRJ7" s="2206"/>
      <c r="BRK7" s="2206"/>
      <c r="BRL7" s="2206"/>
      <c r="BRM7" s="2206"/>
      <c r="BRN7" s="2206"/>
      <c r="BRO7" s="2206"/>
      <c r="BRP7" s="2206"/>
      <c r="BRQ7" s="2206"/>
      <c r="BRR7" s="2206"/>
      <c r="BRS7" s="2206"/>
      <c r="BRT7" s="2206"/>
      <c r="BRU7" s="2206"/>
      <c r="BRV7" s="2206"/>
      <c r="BRW7" s="2206"/>
      <c r="BRX7" s="2206"/>
      <c r="BRY7" s="2206"/>
      <c r="BRZ7" s="2206"/>
      <c r="BSA7" s="2206"/>
      <c r="BSB7" s="2206"/>
      <c r="BSC7" s="2206"/>
      <c r="BSD7" s="2206"/>
      <c r="BSE7" s="2206"/>
      <c r="BSF7" s="2206"/>
      <c r="BSG7" s="2206"/>
      <c r="BSH7" s="2206"/>
      <c r="BSI7" s="2206"/>
      <c r="BSJ7" s="2206"/>
      <c r="BSK7" s="2206"/>
      <c r="BSL7" s="2206"/>
      <c r="BSM7" s="2206"/>
      <c r="BSN7" s="2206"/>
      <c r="BSO7" s="2206"/>
      <c r="BSP7" s="2206"/>
      <c r="BSQ7" s="2206"/>
      <c r="BSR7" s="2206"/>
      <c r="BSS7" s="2206"/>
      <c r="BST7" s="2206"/>
      <c r="BSU7" s="2206"/>
      <c r="BSV7" s="2206"/>
      <c r="BSW7" s="2206"/>
      <c r="BSX7" s="2206"/>
      <c r="BSY7" s="2206"/>
      <c r="BSZ7" s="2206"/>
      <c r="BTA7" s="2206"/>
      <c r="BTB7" s="2206"/>
      <c r="BTC7" s="2206"/>
      <c r="BTD7" s="2206"/>
      <c r="BTE7" s="2206"/>
      <c r="BTF7" s="2206"/>
      <c r="BTG7" s="2206"/>
      <c r="BTH7" s="2206"/>
      <c r="BTI7" s="2206"/>
      <c r="BTJ7" s="2206"/>
      <c r="BTK7" s="2206"/>
      <c r="BTL7" s="2206"/>
      <c r="BTM7" s="2206"/>
      <c r="BTN7" s="2206"/>
      <c r="BTO7" s="2206"/>
      <c r="BTP7" s="2206"/>
      <c r="BTQ7" s="2206"/>
      <c r="BTR7" s="2206"/>
      <c r="BTS7" s="2206"/>
      <c r="BTT7" s="2206"/>
      <c r="BTU7" s="2206"/>
      <c r="BTV7" s="2206"/>
      <c r="BTW7" s="2206"/>
      <c r="BTX7" s="2206"/>
      <c r="BTY7" s="2206"/>
      <c r="BTZ7" s="2206"/>
      <c r="BUA7" s="2206"/>
      <c r="BUB7" s="2206"/>
      <c r="BUC7" s="2206"/>
      <c r="BUD7" s="2206"/>
      <c r="BUE7" s="2206"/>
      <c r="BUF7" s="2206"/>
      <c r="BUG7" s="2206"/>
      <c r="BUH7" s="2206"/>
      <c r="BUI7" s="2206"/>
      <c r="BUJ7" s="2206"/>
      <c r="BUK7" s="2206"/>
      <c r="BUL7" s="2206"/>
      <c r="BUM7" s="2206"/>
      <c r="BUN7" s="2206"/>
      <c r="BUO7" s="2206"/>
      <c r="BUP7" s="2206"/>
      <c r="BUQ7" s="2206"/>
      <c r="BUR7" s="2206"/>
      <c r="BUS7" s="2206"/>
      <c r="BUT7" s="2206"/>
      <c r="BUU7" s="2206"/>
      <c r="BUV7" s="2206"/>
      <c r="BUW7" s="2206"/>
      <c r="BUX7" s="2206"/>
      <c r="BUY7" s="2206"/>
      <c r="BUZ7" s="2206"/>
      <c r="BVA7" s="2206"/>
      <c r="BVB7" s="2206"/>
      <c r="BVC7" s="2206"/>
      <c r="BVD7" s="2206"/>
      <c r="BVE7" s="2206"/>
      <c r="BVF7" s="2206"/>
      <c r="BVG7" s="2206"/>
      <c r="BVH7" s="2206"/>
      <c r="BVI7" s="2206"/>
      <c r="BVJ7" s="2206"/>
      <c r="BVK7" s="2206"/>
      <c r="BVL7" s="2206"/>
      <c r="BVM7" s="2206"/>
      <c r="BVN7" s="2206"/>
      <c r="BVO7" s="2206"/>
      <c r="BVP7" s="2206"/>
      <c r="BVQ7" s="2206"/>
      <c r="BVR7" s="2206"/>
      <c r="BVS7" s="2206"/>
      <c r="BVT7" s="2206"/>
      <c r="BVU7" s="2206"/>
      <c r="BVV7" s="2206"/>
      <c r="BVW7" s="2206"/>
      <c r="BVX7" s="2206"/>
      <c r="BVY7" s="2206"/>
      <c r="BVZ7" s="2206"/>
      <c r="BWA7" s="2206"/>
      <c r="BWB7" s="2206"/>
      <c r="BWC7" s="2206"/>
      <c r="BWD7" s="2206"/>
      <c r="BWE7" s="2206"/>
      <c r="BWF7" s="2206"/>
      <c r="BWG7" s="2206"/>
      <c r="BWH7" s="2206"/>
      <c r="BWI7" s="2206"/>
      <c r="BWJ7" s="2206"/>
      <c r="BWK7" s="2206"/>
      <c r="BWL7" s="2206"/>
      <c r="BWM7" s="2206"/>
      <c r="BWN7" s="2206"/>
      <c r="BWO7" s="2206"/>
      <c r="BWP7" s="2206"/>
      <c r="BWQ7" s="2206"/>
      <c r="BWR7" s="2206"/>
      <c r="BWS7" s="2206"/>
      <c r="BWT7" s="2206"/>
      <c r="BWU7" s="2206"/>
      <c r="BWV7" s="2206"/>
      <c r="BWW7" s="2206"/>
      <c r="BWX7" s="2206"/>
      <c r="BWY7" s="2206"/>
      <c r="BWZ7" s="2206"/>
      <c r="BXA7" s="2206"/>
      <c r="BXB7" s="2206"/>
      <c r="BXC7" s="2206"/>
      <c r="BXD7" s="2206"/>
      <c r="BXE7" s="2206"/>
      <c r="BXF7" s="2206"/>
      <c r="BXG7" s="2206"/>
      <c r="BXH7" s="2206"/>
      <c r="BXI7" s="2206"/>
      <c r="BXJ7" s="2206"/>
      <c r="BXK7" s="2206"/>
      <c r="BXL7" s="2206"/>
      <c r="BXM7" s="2206"/>
      <c r="BXN7" s="2206"/>
      <c r="BXO7" s="2206"/>
      <c r="BXP7" s="2206"/>
      <c r="BXQ7" s="2206"/>
      <c r="BXR7" s="2206"/>
      <c r="BXS7" s="2206"/>
      <c r="BXT7" s="2206"/>
      <c r="BXU7" s="2206"/>
      <c r="BXV7" s="2206"/>
      <c r="BXW7" s="2206"/>
      <c r="BXX7" s="2206"/>
      <c r="BXY7" s="2206"/>
      <c r="BXZ7" s="2206"/>
      <c r="BYA7" s="2206"/>
      <c r="BYB7" s="2206"/>
      <c r="BYC7" s="2206"/>
      <c r="BYD7" s="2206"/>
      <c r="BYE7" s="2206"/>
      <c r="BYF7" s="2206"/>
      <c r="BYG7" s="2206"/>
      <c r="BYH7" s="2206"/>
      <c r="BYI7" s="2206"/>
      <c r="BYJ7" s="2206"/>
      <c r="BYK7" s="2206"/>
      <c r="BYL7" s="2206"/>
      <c r="BYM7" s="2206"/>
      <c r="BYN7" s="2206"/>
      <c r="BYO7" s="2206"/>
      <c r="BYP7" s="2206"/>
      <c r="BYQ7" s="2206"/>
      <c r="BYR7" s="2206"/>
      <c r="BYS7" s="2206"/>
      <c r="BYT7" s="2206"/>
      <c r="BYU7" s="2206"/>
      <c r="BYV7" s="2206"/>
      <c r="BYW7" s="2206"/>
      <c r="BYX7" s="2206"/>
      <c r="BYY7" s="2206"/>
      <c r="BYZ7" s="2206"/>
      <c r="BZA7" s="2206"/>
      <c r="BZB7" s="2206"/>
      <c r="BZC7" s="2206"/>
      <c r="BZD7" s="2206"/>
      <c r="BZE7" s="2206"/>
      <c r="BZF7" s="2206"/>
      <c r="BZG7" s="2206"/>
      <c r="BZH7" s="2206"/>
      <c r="BZI7" s="2206"/>
      <c r="BZJ7" s="2206"/>
      <c r="BZK7" s="2206"/>
      <c r="BZL7" s="2206"/>
      <c r="BZM7" s="2206"/>
      <c r="BZN7" s="2206"/>
      <c r="BZO7" s="2206"/>
      <c r="BZP7" s="2206"/>
      <c r="BZQ7" s="2206"/>
      <c r="BZR7" s="2206"/>
      <c r="BZS7" s="2206"/>
      <c r="BZT7" s="2206"/>
      <c r="BZU7" s="2206"/>
      <c r="BZV7" s="2206"/>
      <c r="BZW7" s="2206"/>
      <c r="BZX7" s="2206"/>
      <c r="BZY7" s="2206"/>
      <c r="BZZ7" s="2206"/>
      <c r="CAA7" s="2206"/>
      <c r="CAB7" s="2206"/>
      <c r="CAC7" s="2206"/>
      <c r="CAD7" s="2206"/>
      <c r="CAE7" s="2206"/>
      <c r="CAF7" s="2206"/>
      <c r="CAG7" s="2206"/>
      <c r="CAH7" s="2206"/>
      <c r="CAI7" s="2206"/>
      <c r="CAJ7" s="2206"/>
      <c r="CAK7" s="2206"/>
      <c r="CAL7" s="2206"/>
      <c r="CAM7" s="2206"/>
      <c r="CAN7" s="2206"/>
      <c r="CAO7" s="2206"/>
      <c r="CAP7" s="2206"/>
      <c r="CAQ7" s="2206"/>
      <c r="CAR7" s="2206"/>
      <c r="CAS7" s="2206"/>
      <c r="CAT7" s="2206"/>
      <c r="CAU7" s="2206"/>
      <c r="CAV7" s="2206"/>
      <c r="CAW7" s="2206"/>
      <c r="CAX7" s="2206"/>
      <c r="CAY7" s="2206"/>
      <c r="CAZ7" s="2206"/>
      <c r="CBA7" s="2206"/>
      <c r="CBB7" s="2206"/>
      <c r="CBC7" s="2206"/>
      <c r="CBD7" s="2206"/>
      <c r="CBE7" s="2206"/>
      <c r="CBF7" s="2206"/>
      <c r="CBG7" s="2206"/>
      <c r="CBH7" s="2206"/>
      <c r="CBI7" s="2206"/>
      <c r="CBJ7" s="2206"/>
      <c r="CBK7" s="2206"/>
      <c r="CBL7" s="2206"/>
      <c r="CBM7" s="2206"/>
      <c r="CBN7" s="2206"/>
      <c r="CBO7" s="2206"/>
      <c r="CBP7" s="2206"/>
      <c r="CBQ7" s="2206"/>
      <c r="CBR7" s="2206"/>
      <c r="CBS7" s="2206"/>
      <c r="CBT7" s="2206"/>
      <c r="CBU7" s="2206"/>
      <c r="CBV7" s="2206"/>
      <c r="CBW7" s="2206"/>
      <c r="CBX7" s="2206"/>
      <c r="CBY7" s="2206"/>
      <c r="CBZ7" s="2206"/>
      <c r="CCA7" s="2206"/>
      <c r="CCB7" s="2206"/>
      <c r="CCC7" s="2206"/>
      <c r="CCD7" s="2206"/>
      <c r="CCE7" s="2206"/>
      <c r="CCF7" s="2206"/>
      <c r="CCG7" s="2206"/>
      <c r="CCH7" s="2206"/>
      <c r="CCI7" s="2206"/>
      <c r="CCJ7" s="2206"/>
      <c r="CCK7" s="2206"/>
      <c r="CCL7" s="2206"/>
      <c r="CCM7" s="2206"/>
      <c r="CCN7" s="2206"/>
      <c r="CCO7" s="2206"/>
      <c r="CCP7" s="2206"/>
      <c r="CCQ7" s="2206"/>
      <c r="CCR7" s="2206"/>
      <c r="CCS7" s="2206"/>
      <c r="CCT7" s="2206"/>
      <c r="CCU7" s="2206"/>
      <c r="CCV7" s="2206"/>
      <c r="CCW7" s="2206"/>
      <c r="CCX7" s="2206"/>
      <c r="CCY7" s="2206"/>
      <c r="CCZ7" s="2206"/>
      <c r="CDA7" s="2206"/>
      <c r="CDB7" s="2206"/>
      <c r="CDC7" s="2206"/>
      <c r="CDD7" s="2206"/>
      <c r="CDE7" s="2206"/>
      <c r="CDF7" s="2206"/>
      <c r="CDG7" s="2206"/>
      <c r="CDH7" s="2206"/>
      <c r="CDI7" s="2206"/>
      <c r="CDJ7" s="2206"/>
      <c r="CDK7" s="2206"/>
      <c r="CDL7" s="2206"/>
      <c r="CDM7" s="2206"/>
      <c r="CDN7" s="2206"/>
      <c r="CDO7" s="2206"/>
      <c r="CDP7" s="2206"/>
      <c r="CDQ7" s="2206"/>
      <c r="CDR7" s="2206"/>
      <c r="CDS7" s="2206"/>
      <c r="CDT7" s="2206"/>
      <c r="CDU7" s="2206"/>
      <c r="CDV7" s="2206"/>
      <c r="CDW7" s="2206"/>
      <c r="CDX7" s="2206"/>
      <c r="CDY7" s="2206"/>
      <c r="CDZ7" s="2206"/>
      <c r="CEA7" s="2206"/>
      <c r="CEB7" s="2206"/>
      <c r="CEC7" s="2206"/>
      <c r="CED7" s="2206"/>
      <c r="CEE7" s="2206"/>
      <c r="CEF7" s="2206"/>
      <c r="CEG7" s="2206"/>
      <c r="CEH7" s="2206"/>
      <c r="CEI7" s="2206"/>
      <c r="CEJ7" s="2206"/>
      <c r="CEK7" s="2206"/>
      <c r="CEL7" s="2206"/>
      <c r="CEM7" s="2206"/>
      <c r="CEN7" s="2206"/>
      <c r="CEO7" s="2206"/>
      <c r="CEP7" s="2206"/>
      <c r="CEQ7" s="2206"/>
      <c r="CER7" s="2206"/>
      <c r="CES7" s="2206"/>
      <c r="CET7" s="2206"/>
      <c r="CEU7" s="2206"/>
      <c r="CEV7" s="2206"/>
      <c r="CEW7" s="2206"/>
      <c r="CEX7" s="2206"/>
      <c r="CEY7" s="2206"/>
      <c r="CEZ7" s="2206"/>
      <c r="CFA7" s="2206"/>
      <c r="CFB7" s="2206"/>
      <c r="CFC7" s="2206"/>
      <c r="CFD7" s="2206"/>
      <c r="CFE7" s="2206"/>
      <c r="CFF7" s="2206"/>
      <c r="CFG7" s="2206"/>
      <c r="CFH7" s="2206"/>
      <c r="CFI7" s="2206"/>
      <c r="CFJ7" s="2206"/>
      <c r="CFK7" s="2206"/>
      <c r="CFL7" s="2206"/>
      <c r="CFM7" s="2206"/>
      <c r="CFN7" s="2206"/>
      <c r="CFO7" s="2206"/>
      <c r="CFP7" s="2206"/>
      <c r="CFQ7" s="2206"/>
      <c r="CFR7" s="2206"/>
      <c r="CFS7" s="2206"/>
      <c r="CFT7" s="2206"/>
      <c r="CFU7" s="2206"/>
      <c r="CFV7" s="2206"/>
      <c r="CFW7" s="2206"/>
      <c r="CFX7" s="2206"/>
      <c r="CFY7" s="2206"/>
      <c r="CFZ7" s="2206"/>
      <c r="CGA7" s="2206"/>
      <c r="CGB7" s="2206"/>
      <c r="CGC7" s="2206"/>
      <c r="CGD7" s="2206"/>
      <c r="CGE7" s="2206"/>
      <c r="CGF7" s="2206"/>
      <c r="CGG7" s="2206"/>
      <c r="CGH7" s="2206"/>
      <c r="CGI7" s="2206"/>
      <c r="CGJ7" s="2206"/>
      <c r="CGK7" s="2206"/>
      <c r="CGL7" s="2206"/>
      <c r="CGM7" s="2206"/>
      <c r="CGN7" s="2206"/>
      <c r="CGO7" s="2206"/>
      <c r="CGP7" s="2206"/>
      <c r="CGQ7" s="2206"/>
      <c r="CGR7" s="2206"/>
      <c r="CGS7" s="2206"/>
      <c r="CGT7" s="2206"/>
      <c r="CGU7" s="2206"/>
      <c r="CGV7" s="2206"/>
      <c r="CGW7" s="2206"/>
      <c r="CGX7" s="2206"/>
      <c r="CGY7" s="2206"/>
      <c r="CGZ7" s="2206"/>
      <c r="CHA7" s="2206"/>
      <c r="CHB7" s="2206"/>
      <c r="CHC7" s="2206"/>
      <c r="CHD7" s="2206"/>
      <c r="CHE7" s="2206"/>
      <c r="CHF7" s="2206"/>
      <c r="CHG7" s="2206"/>
      <c r="CHH7" s="2206"/>
      <c r="CHI7" s="2206"/>
      <c r="CHJ7" s="2206"/>
      <c r="CHK7" s="2206"/>
      <c r="CHL7" s="2206"/>
      <c r="CHM7" s="2206"/>
      <c r="CHN7" s="2206"/>
      <c r="CHO7" s="2206"/>
      <c r="CHP7" s="2206"/>
      <c r="CHQ7" s="2206"/>
      <c r="CHR7" s="2206"/>
      <c r="CHS7" s="2206"/>
      <c r="CHT7" s="2206"/>
      <c r="CHU7" s="2206"/>
      <c r="CHV7" s="2206"/>
      <c r="CHW7" s="2206"/>
      <c r="CHX7" s="2206"/>
      <c r="CHY7" s="2206"/>
      <c r="CHZ7" s="2206"/>
      <c r="CIA7" s="2206"/>
      <c r="CIB7" s="2206"/>
      <c r="CIC7" s="2206"/>
      <c r="CID7" s="2206"/>
      <c r="CIE7" s="2206"/>
      <c r="CIF7" s="2206"/>
      <c r="CIG7" s="2206"/>
      <c r="CIH7" s="2206"/>
      <c r="CII7" s="2206"/>
      <c r="CIJ7" s="2206"/>
      <c r="CIK7" s="2206"/>
      <c r="CIL7" s="2206"/>
      <c r="CIM7" s="2206"/>
      <c r="CIN7" s="2206"/>
      <c r="CIO7" s="2206"/>
      <c r="CIP7" s="2206"/>
      <c r="CIQ7" s="2206"/>
      <c r="CIR7" s="2206"/>
      <c r="CIS7" s="2206"/>
      <c r="CIT7" s="2206"/>
      <c r="CIU7" s="2206"/>
      <c r="CIV7" s="2206"/>
      <c r="CIW7" s="2206"/>
      <c r="CIX7" s="2206"/>
      <c r="CIY7" s="2206"/>
      <c r="CIZ7" s="2206"/>
      <c r="CJA7" s="2206"/>
      <c r="CJB7" s="2206"/>
      <c r="CJC7" s="2206"/>
      <c r="CJD7" s="2206"/>
      <c r="CJE7" s="2206"/>
      <c r="CJF7" s="2206"/>
      <c r="CJG7" s="2206"/>
      <c r="CJH7" s="2206"/>
      <c r="CJI7" s="2206"/>
      <c r="CJJ7" s="2206"/>
      <c r="CJK7" s="2206"/>
      <c r="CJL7" s="2206"/>
      <c r="CJM7" s="2206"/>
      <c r="CJN7" s="2206"/>
      <c r="CJO7" s="2206"/>
      <c r="CJP7" s="2206"/>
      <c r="CJQ7" s="2206"/>
      <c r="CJR7" s="2206"/>
      <c r="CJS7" s="2206"/>
      <c r="CJT7" s="2206"/>
      <c r="CJU7" s="2206"/>
      <c r="CJV7" s="2206"/>
      <c r="CJW7" s="2206"/>
      <c r="CJX7" s="2206"/>
      <c r="CJY7" s="2206"/>
      <c r="CJZ7" s="2206"/>
      <c r="CKA7" s="2206"/>
      <c r="CKB7" s="2206"/>
      <c r="CKC7" s="2206"/>
      <c r="CKD7" s="2206"/>
      <c r="CKE7" s="2206"/>
      <c r="CKF7" s="2206"/>
      <c r="CKG7" s="2206"/>
      <c r="CKH7" s="2206"/>
      <c r="CKI7" s="2206"/>
      <c r="CKJ7" s="2206"/>
      <c r="CKK7" s="2206"/>
      <c r="CKL7" s="2206"/>
      <c r="CKM7" s="2206"/>
      <c r="CKN7" s="2206"/>
      <c r="CKO7" s="2206"/>
      <c r="CKP7" s="2206"/>
      <c r="CKQ7" s="2206"/>
      <c r="CKR7" s="2206"/>
      <c r="CKS7" s="2206"/>
      <c r="CKT7" s="2206"/>
      <c r="CKU7" s="2206"/>
      <c r="CKV7" s="2206"/>
      <c r="CKW7" s="2206"/>
      <c r="CKX7" s="2206"/>
      <c r="CKY7" s="2206"/>
      <c r="CKZ7" s="2206"/>
      <c r="CLA7" s="2206"/>
      <c r="CLB7" s="2206"/>
      <c r="CLC7" s="2206"/>
      <c r="CLD7" s="2206"/>
      <c r="CLE7" s="2206"/>
      <c r="CLF7" s="2206"/>
      <c r="CLG7" s="2206"/>
      <c r="CLH7" s="2206"/>
      <c r="CLI7" s="2206"/>
      <c r="CLJ7" s="2206"/>
      <c r="CLK7" s="2206"/>
      <c r="CLL7" s="2206"/>
      <c r="CLM7" s="2206"/>
      <c r="CLN7" s="2206"/>
      <c r="CLO7" s="2206"/>
      <c r="CLP7" s="2206"/>
      <c r="CLQ7" s="2206"/>
      <c r="CLR7" s="2206"/>
      <c r="CLS7" s="2206"/>
      <c r="CLT7" s="2206"/>
      <c r="CLU7" s="2206"/>
      <c r="CLV7" s="2206"/>
      <c r="CLW7" s="2206"/>
      <c r="CLX7" s="2206"/>
      <c r="CLY7" s="2206"/>
      <c r="CLZ7" s="2206"/>
      <c r="CMA7" s="2206"/>
      <c r="CMB7" s="2206"/>
      <c r="CMC7" s="2206"/>
      <c r="CMD7" s="2206"/>
      <c r="CME7" s="2206"/>
      <c r="CMF7" s="2206"/>
      <c r="CMG7" s="2206"/>
      <c r="CMH7" s="2206"/>
      <c r="CMI7" s="2206"/>
      <c r="CMJ7" s="2206"/>
      <c r="CMK7" s="2206"/>
      <c r="CML7" s="2206"/>
      <c r="CMM7" s="2206"/>
      <c r="CMN7" s="2206"/>
      <c r="CMO7" s="2206"/>
      <c r="CMP7" s="2206"/>
      <c r="CMQ7" s="2206"/>
      <c r="CMR7" s="2206"/>
      <c r="CMS7" s="2206"/>
      <c r="CMT7" s="2206"/>
      <c r="CMU7" s="2206"/>
      <c r="CMV7" s="2206"/>
      <c r="CMW7" s="2206"/>
      <c r="CMX7" s="2206"/>
      <c r="CMY7" s="2206"/>
      <c r="CMZ7" s="2206"/>
      <c r="CNA7" s="2206"/>
      <c r="CNB7" s="2206"/>
      <c r="CNC7" s="2206"/>
      <c r="CND7" s="2206"/>
      <c r="CNE7" s="2206"/>
      <c r="CNF7" s="2206"/>
      <c r="CNG7" s="2206"/>
      <c r="CNH7" s="2206"/>
      <c r="CNI7" s="2206"/>
      <c r="CNJ7" s="2206"/>
      <c r="CNK7" s="2206"/>
      <c r="CNL7" s="2206"/>
      <c r="CNM7" s="2206"/>
      <c r="CNN7" s="2206"/>
      <c r="CNO7" s="2206"/>
      <c r="CNP7" s="2206"/>
      <c r="CNQ7" s="2206"/>
      <c r="CNR7" s="2206"/>
      <c r="CNS7" s="2206"/>
      <c r="CNT7" s="2206"/>
      <c r="CNU7" s="2206"/>
      <c r="CNV7" s="2206"/>
      <c r="CNW7" s="2206"/>
      <c r="CNX7" s="2206"/>
      <c r="CNY7" s="2206"/>
      <c r="CNZ7" s="2206"/>
      <c r="COA7" s="2206"/>
      <c r="COB7" s="2206"/>
      <c r="COC7" s="2206"/>
      <c r="COD7" s="2206"/>
      <c r="COE7" s="2206"/>
      <c r="COF7" s="2206"/>
      <c r="COG7" s="2206"/>
      <c r="COH7" s="2206"/>
      <c r="COI7" s="2206"/>
      <c r="COJ7" s="2206"/>
      <c r="COK7" s="2206"/>
      <c r="COL7" s="2206"/>
      <c r="COM7" s="2206"/>
      <c r="CON7" s="2206"/>
      <c r="COO7" s="2206"/>
      <c r="COP7" s="2206"/>
      <c r="COQ7" s="2206"/>
      <c r="COR7" s="2206"/>
      <c r="COS7" s="2206"/>
      <c r="COT7" s="2206"/>
      <c r="COU7" s="2206"/>
      <c r="COV7" s="2206"/>
      <c r="COW7" s="2206"/>
      <c r="COX7" s="2206"/>
      <c r="COY7" s="2206"/>
      <c r="COZ7" s="2206"/>
      <c r="CPA7" s="2206"/>
      <c r="CPB7" s="2206"/>
      <c r="CPC7" s="2206"/>
      <c r="CPD7" s="2206"/>
      <c r="CPE7" s="2206"/>
      <c r="CPF7" s="2206"/>
      <c r="CPG7" s="2206"/>
      <c r="CPH7" s="2206"/>
      <c r="CPI7" s="2206"/>
      <c r="CPJ7" s="2206"/>
      <c r="CPK7" s="2206"/>
      <c r="CPL7" s="2206"/>
      <c r="CPM7" s="2206"/>
      <c r="CPN7" s="2206"/>
      <c r="CPO7" s="2206"/>
      <c r="CPP7" s="2206"/>
      <c r="CPQ7" s="2206"/>
      <c r="CPR7" s="2206"/>
      <c r="CPS7" s="2206"/>
      <c r="CPT7" s="2206"/>
      <c r="CPU7" s="2206"/>
      <c r="CPV7" s="2206"/>
      <c r="CPW7" s="2206"/>
      <c r="CPX7" s="2206"/>
      <c r="CPY7" s="2206"/>
      <c r="CPZ7" s="2206"/>
      <c r="CQA7" s="2206"/>
      <c r="CQB7" s="2206"/>
      <c r="CQC7" s="2206"/>
      <c r="CQD7" s="2206"/>
      <c r="CQE7" s="2206"/>
      <c r="CQF7" s="2206"/>
      <c r="CQG7" s="2206"/>
      <c r="CQH7" s="2206"/>
      <c r="CQI7" s="2206"/>
      <c r="CQJ7" s="2206"/>
      <c r="CQK7" s="2206"/>
      <c r="CQL7" s="2206"/>
      <c r="CQM7" s="2206"/>
      <c r="CQN7" s="2206"/>
      <c r="CQO7" s="2206"/>
      <c r="CQP7" s="2206"/>
      <c r="CQQ7" s="2206"/>
      <c r="CQR7" s="2206"/>
      <c r="CQS7" s="2206"/>
      <c r="CQT7" s="2206"/>
      <c r="CQU7" s="2206"/>
      <c r="CQV7" s="2206"/>
      <c r="CQW7" s="2206"/>
      <c r="CQX7" s="2206"/>
      <c r="CQY7" s="2206"/>
      <c r="CQZ7" s="2206"/>
      <c r="CRA7" s="2206"/>
      <c r="CRB7" s="2206"/>
      <c r="CRC7" s="2206"/>
      <c r="CRD7" s="2206"/>
      <c r="CRE7" s="2206"/>
      <c r="CRF7" s="2206"/>
      <c r="CRG7" s="2206"/>
      <c r="CRH7" s="2206"/>
      <c r="CRI7" s="2206"/>
      <c r="CRJ7" s="2206"/>
      <c r="CRK7" s="2206"/>
      <c r="CRL7" s="2206"/>
      <c r="CRM7" s="2206"/>
      <c r="CRN7" s="2206"/>
      <c r="CRO7" s="2206"/>
      <c r="CRP7" s="2206"/>
      <c r="CRQ7" s="2206"/>
      <c r="CRR7" s="2206"/>
      <c r="CRS7" s="2206"/>
      <c r="CRT7" s="2206"/>
      <c r="CRU7" s="2206"/>
      <c r="CRV7" s="2206"/>
      <c r="CRW7" s="2206"/>
      <c r="CRX7" s="2206"/>
      <c r="CRY7" s="2206"/>
      <c r="CRZ7" s="2206"/>
      <c r="CSA7" s="2206"/>
      <c r="CSB7" s="2206"/>
      <c r="CSC7" s="2206"/>
      <c r="CSD7" s="2206"/>
      <c r="CSE7" s="2206"/>
      <c r="CSF7" s="2206"/>
      <c r="CSG7" s="2206"/>
      <c r="CSH7" s="2206"/>
      <c r="CSI7" s="2206"/>
      <c r="CSJ7" s="2206"/>
      <c r="CSK7" s="2206"/>
      <c r="CSL7" s="2206"/>
      <c r="CSM7" s="2206"/>
      <c r="CSN7" s="2206"/>
      <c r="CSO7" s="2206"/>
      <c r="CSP7" s="2206"/>
      <c r="CSQ7" s="2206"/>
      <c r="CSR7" s="2206"/>
      <c r="CSS7" s="2206"/>
      <c r="CST7" s="2206"/>
      <c r="CSU7" s="2206"/>
      <c r="CSV7" s="2206"/>
      <c r="CSW7" s="2206"/>
      <c r="CSX7" s="2206"/>
      <c r="CSY7" s="2206"/>
      <c r="CSZ7" s="2206"/>
      <c r="CTA7" s="2206"/>
      <c r="CTB7" s="2206"/>
      <c r="CTC7" s="2206"/>
      <c r="CTD7" s="2206"/>
      <c r="CTE7" s="2206"/>
      <c r="CTF7" s="2206"/>
      <c r="CTG7" s="2206"/>
      <c r="CTH7" s="2206"/>
      <c r="CTI7" s="2206"/>
      <c r="CTJ7" s="2206"/>
      <c r="CTK7" s="2206"/>
      <c r="CTL7" s="2206"/>
      <c r="CTM7" s="2206"/>
      <c r="CTN7" s="2206"/>
      <c r="CTO7" s="2206"/>
      <c r="CTP7" s="2206"/>
      <c r="CTQ7" s="2206"/>
      <c r="CTR7" s="2206"/>
      <c r="CTS7" s="2206"/>
      <c r="CTT7" s="2206"/>
      <c r="CTU7" s="2206"/>
      <c r="CTV7" s="2206"/>
      <c r="CTW7" s="2206"/>
      <c r="CTX7" s="2206"/>
      <c r="CTY7" s="2206"/>
      <c r="CTZ7" s="2206"/>
      <c r="CUA7" s="2206"/>
      <c r="CUB7" s="2206"/>
      <c r="CUC7" s="2206"/>
      <c r="CUD7" s="2206"/>
      <c r="CUE7" s="2206"/>
      <c r="CUF7" s="2206"/>
      <c r="CUG7" s="2206"/>
      <c r="CUH7" s="2206"/>
      <c r="CUI7" s="2206"/>
      <c r="CUJ7" s="2206"/>
      <c r="CUK7" s="2206"/>
      <c r="CUL7" s="2206"/>
      <c r="CUM7" s="2206"/>
      <c r="CUN7" s="2206"/>
      <c r="CUO7" s="2206"/>
      <c r="CUP7" s="2206"/>
      <c r="CUQ7" s="2206"/>
      <c r="CUR7" s="2206"/>
      <c r="CUS7" s="2206"/>
      <c r="CUT7" s="2206"/>
      <c r="CUU7" s="2206"/>
      <c r="CUV7" s="2206"/>
      <c r="CUW7" s="2206"/>
      <c r="CUX7" s="2206"/>
      <c r="CUY7" s="2206"/>
      <c r="CUZ7" s="2206"/>
      <c r="CVA7" s="2206"/>
      <c r="CVB7" s="2206"/>
      <c r="CVC7" s="2206"/>
      <c r="CVD7" s="2206"/>
      <c r="CVE7" s="2206"/>
      <c r="CVF7" s="2206"/>
      <c r="CVG7" s="2206"/>
      <c r="CVH7" s="2206"/>
      <c r="CVI7" s="2206"/>
      <c r="CVJ7" s="2206"/>
      <c r="CVK7" s="2206"/>
      <c r="CVL7" s="2206"/>
      <c r="CVM7" s="2206"/>
      <c r="CVN7" s="2206"/>
      <c r="CVO7" s="2206"/>
      <c r="CVP7" s="2206"/>
      <c r="CVQ7" s="2206"/>
      <c r="CVR7" s="2206"/>
      <c r="CVS7" s="2206"/>
      <c r="CVT7" s="2206"/>
      <c r="CVU7" s="2206"/>
      <c r="CVV7" s="2206"/>
      <c r="CVW7" s="2206"/>
      <c r="CVX7" s="2206"/>
      <c r="CVY7" s="2206"/>
      <c r="CVZ7" s="2206"/>
      <c r="CWA7" s="2206"/>
      <c r="CWB7" s="2206"/>
      <c r="CWC7" s="2206"/>
      <c r="CWD7" s="2206"/>
      <c r="CWE7" s="2206"/>
      <c r="CWF7" s="2206"/>
      <c r="CWG7" s="2206"/>
      <c r="CWH7" s="2206"/>
      <c r="CWI7" s="2206"/>
      <c r="CWJ7" s="2206"/>
      <c r="CWK7" s="2206"/>
      <c r="CWL7" s="2206"/>
      <c r="CWM7" s="2206"/>
      <c r="CWN7" s="2206"/>
      <c r="CWO7" s="2206"/>
      <c r="CWP7" s="2206"/>
      <c r="CWQ7" s="2206"/>
      <c r="CWR7" s="2206"/>
      <c r="CWS7" s="2206"/>
      <c r="CWT7" s="2206"/>
      <c r="CWU7" s="2206"/>
      <c r="CWV7" s="2206"/>
      <c r="CWW7" s="2206"/>
      <c r="CWX7" s="2206"/>
      <c r="CWY7" s="2206"/>
      <c r="CWZ7" s="2206"/>
      <c r="CXA7" s="2206"/>
      <c r="CXB7" s="2206"/>
      <c r="CXC7" s="2206"/>
      <c r="CXD7" s="2206"/>
      <c r="CXE7" s="2206"/>
      <c r="CXF7" s="2206"/>
      <c r="CXG7" s="2206"/>
      <c r="CXH7" s="2206"/>
      <c r="CXI7" s="2206"/>
      <c r="CXJ7" s="2206"/>
      <c r="CXK7" s="2206"/>
      <c r="CXL7" s="2206"/>
      <c r="CXM7" s="2206"/>
      <c r="CXN7" s="2206"/>
      <c r="CXO7" s="2206"/>
      <c r="CXP7" s="2206"/>
      <c r="CXQ7" s="2206"/>
      <c r="CXR7" s="2206"/>
      <c r="CXS7" s="2206"/>
      <c r="CXT7" s="2206"/>
      <c r="CXU7" s="2206"/>
      <c r="CXV7" s="2206"/>
      <c r="CXW7" s="2206"/>
      <c r="CXX7" s="2206"/>
      <c r="CXY7" s="2206"/>
      <c r="CXZ7" s="2206"/>
      <c r="CYA7" s="2206"/>
      <c r="CYB7" s="2206"/>
      <c r="CYC7" s="2206"/>
      <c r="CYD7" s="2206"/>
      <c r="CYE7" s="2206"/>
      <c r="CYF7" s="2206"/>
      <c r="CYG7" s="2206"/>
      <c r="CYH7" s="2206"/>
      <c r="CYI7" s="2206"/>
      <c r="CYJ7" s="2206"/>
      <c r="CYK7" s="2206"/>
      <c r="CYL7" s="2206"/>
      <c r="CYM7" s="2206"/>
      <c r="CYN7" s="2206"/>
      <c r="CYO7" s="2206"/>
      <c r="CYP7" s="2206"/>
      <c r="CYQ7" s="2206"/>
      <c r="CYR7" s="2206"/>
      <c r="CYS7" s="2206"/>
      <c r="CYT7" s="2206"/>
      <c r="CYU7" s="2206"/>
      <c r="CYV7" s="2206"/>
      <c r="CYW7" s="2206"/>
      <c r="CYX7" s="2206"/>
      <c r="CYY7" s="2206"/>
      <c r="CYZ7" s="2206"/>
      <c r="CZA7" s="2206"/>
      <c r="CZB7" s="2206"/>
      <c r="CZC7" s="2206"/>
      <c r="CZD7" s="2206"/>
      <c r="CZE7" s="2206"/>
      <c r="CZF7" s="2206"/>
      <c r="CZG7" s="2206"/>
      <c r="CZH7" s="2206"/>
      <c r="CZI7" s="2206"/>
      <c r="CZJ7" s="2206"/>
      <c r="CZK7" s="2206"/>
      <c r="CZL7" s="2206"/>
      <c r="CZM7" s="2206"/>
      <c r="CZN7" s="2206"/>
      <c r="CZO7" s="2206"/>
      <c r="CZP7" s="2206"/>
      <c r="CZQ7" s="2206"/>
      <c r="CZR7" s="2206"/>
      <c r="CZS7" s="2206"/>
      <c r="CZT7" s="2206"/>
      <c r="CZU7" s="2206"/>
      <c r="CZV7" s="2206"/>
      <c r="CZW7" s="2206"/>
      <c r="CZX7" s="2206"/>
      <c r="CZY7" s="2206"/>
      <c r="CZZ7" s="2206"/>
      <c r="DAA7" s="2206"/>
      <c r="DAB7" s="2206"/>
      <c r="DAC7" s="2206"/>
      <c r="DAD7" s="2206"/>
      <c r="DAE7" s="2206"/>
      <c r="DAF7" s="2206"/>
      <c r="DAG7" s="2206"/>
      <c r="DAH7" s="2206"/>
      <c r="DAI7" s="2206"/>
      <c r="DAJ7" s="2206"/>
      <c r="DAK7" s="2206"/>
      <c r="DAL7" s="2206"/>
      <c r="DAM7" s="2206"/>
      <c r="DAN7" s="2206"/>
      <c r="DAO7" s="2206"/>
      <c r="DAP7" s="2206"/>
      <c r="DAQ7" s="2206"/>
      <c r="DAR7" s="2206"/>
      <c r="DAS7" s="2206"/>
      <c r="DAT7" s="2206"/>
      <c r="DAU7" s="2206"/>
      <c r="DAV7" s="2206"/>
      <c r="DAW7" s="2206"/>
      <c r="DAX7" s="2206"/>
      <c r="DAY7" s="2206"/>
      <c r="DAZ7" s="2206"/>
      <c r="DBA7" s="2206"/>
      <c r="DBB7" s="2206"/>
      <c r="DBC7" s="2206"/>
      <c r="DBD7" s="2206"/>
      <c r="DBE7" s="2206"/>
      <c r="DBF7" s="2206"/>
      <c r="DBG7" s="2206"/>
      <c r="DBH7" s="2206"/>
      <c r="DBI7" s="2206"/>
      <c r="DBJ7" s="2206"/>
      <c r="DBK7" s="2206"/>
      <c r="DBL7" s="2206"/>
      <c r="DBM7" s="2206"/>
      <c r="DBN7" s="2206"/>
      <c r="DBO7" s="2206"/>
      <c r="DBP7" s="2206"/>
      <c r="DBQ7" s="2206"/>
      <c r="DBR7" s="2206"/>
      <c r="DBS7" s="2206"/>
      <c r="DBT7" s="2206"/>
      <c r="DBU7" s="2206"/>
      <c r="DBV7" s="2206"/>
      <c r="DBW7" s="2206"/>
      <c r="DBX7" s="2206"/>
      <c r="DBY7" s="2206"/>
      <c r="DBZ7" s="2206"/>
      <c r="DCA7" s="2206"/>
      <c r="DCB7" s="2206"/>
      <c r="DCC7" s="2206"/>
      <c r="DCD7" s="2206"/>
      <c r="DCE7" s="2206"/>
      <c r="DCF7" s="2206"/>
      <c r="DCG7" s="2206"/>
      <c r="DCH7" s="2206"/>
      <c r="DCI7" s="2206"/>
      <c r="DCJ7" s="2206"/>
      <c r="DCK7" s="2206"/>
      <c r="DCL7" s="2206"/>
      <c r="DCM7" s="2206"/>
      <c r="DCN7" s="2206"/>
      <c r="DCO7" s="2206"/>
      <c r="DCP7" s="2206"/>
      <c r="DCQ7" s="2206"/>
      <c r="DCR7" s="2206"/>
      <c r="DCS7" s="2206"/>
      <c r="DCT7" s="2206"/>
      <c r="DCU7" s="2206"/>
      <c r="DCV7" s="2206"/>
      <c r="DCW7" s="2206"/>
      <c r="DCX7" s="2206"/>
      <c r="DCY7" s="2206"/>
      <c r="DCZ7" s="2206"/>
      <c r="DDA7" s="2206"/>
      <c r="DDB7" s="2206"/>
      <c r="DDC7" s="2206"/>
      <c r="DDD7" s="2206"/>
      <c r="DDE7" s="2206"/>
      <c r="DDF7" s="2206"/>
      <c r="DDG7" s="2206"/>
      <c r="DDH7" s="2206"/>
      <c r="DDI7" s="2206"/>
      <c r="DDJ7" s="2206"/>
      <c r="DDK7" s="2206"/>
      <c r="DDL7" s="2206"/>
      <c r="DDM7" s="2206"/>
      <c r="DDN7" s="2206"/>
      <c r="DDO7" s="2206"/>
      <c r="DDP7" s="2206"/>
      <c r="DDQ7" s="2206"/>
      <c r="DDR7" s="2206"/>
      <c r="DDS7" s="2206"/>
      <c r="DDT7" s="2206"/>
      <c r="DDU7" s="2206"/>
      <c r="DDV7" s="2206"/>
      <c r="DDW7" s="2206"/>
      <c r="DDX7" s="2206"/>
      <c r="DDY7" s="2206"/>
      <c r="DDZ7" s="2206"/>
      <c r="DEA7" s="2206"/>
      <c r="DEB7" s="2206"/>
      <c r="DEC7" s="2206"/>
      <c r="DED7" s="2206"/>
      <c r="DEE7" s="2206"/>
      <c r="DEF7" s="2206"/>
      <c r="DEG7" s="2206"/>
      <c r="DEH7" s="2206"/>
      <c r="DEI7" s="2206"/>
      <c r="DEJ7" s="2206"/>
      <c r="DEK7" s="2206"/>
      <c r="DEL7" s="2206"/>
      <c r="DEM7" s="2206"/>
      <c r="DEN7" s="2206"/>
      <c r="DEO7" s="2206"/>
      <c r="DEP7" s="2206"/>
      <c r="DEQ7" s="2206"/>
      <c r="DER7" s="2206"/>
      <c r="DES7" s="2206"/>
      <c r="DET7" s="2206"/>
      <c r="DEU7" s="2206"/>
      <c r="DEV7" s="2206"/>
      <c r="DEW7" s="2206"/>
      <c r="DEX7" s="2206"/>
      <c r="DEY7" s="2206"/>
      <c r="DEZ7" s="2206"/>
      <c r="DFA7" s="2206"/>
      <c r="DFB7" s="2206"/>
      <c r="DFC7" s="2206"/>
      <c r="DFD7" s="2206"/>
      <c r="DFE7" s="2206"/>
      <c r="DFF7" s="2206"/>
      <c r="DFG7" s="2206"/>
      <c r="DFH7" s="2206"/>
      <c r="DFI7" s="2206"/>
      <c r="DFJ7" s="2206"/>
      <c r="DFK7" s="2206"/>
      <c r="DFL7" s="2206"/>
      <c r="DFM7" s="2206"/>
      <c r="DFN7" s="2206"/>
      <c r="DFO7" s="2206"/>
      <c r="DFP7" s="2206"/>
      <c r="DFQ7" s="2206"/>
      <c r="DFR7" s="2206"/>
      <c r="DFS7" s="2206"/>
      <c r="DFT7" s="2206"/>
      <c r="DFU7" s="2206"/>
      <c r="DFV7" s="2206"/>
      <c r="DFW7" s="2206"/>
      <c r="DFX7" s="2206"/>
      <c r="DFY7" s="2206"/>
      <c r="DFZ7" s="2206"/>
      <c r="DGA7" s="2206"/>
      <c r="DGB7" s="2206"/>
      <c r="DGC7" s="2206"/>
      <c r="DGD7" s="2206"/>
      <c r="DGE7" s="2206"/>
      <c r="DGF7" s="2206"/>
      <c r="DGG7" s="2206"/>
      <c r="DGH7" s="2206"/>
      <c r="DGI7" s="2206"/>
      <c r="DGJ7" s="2206"/>
      <c r="DGK7" s="2206"/>
      <c r="DGL7" s="2206"/>
      <c r="DGM7" s="2206"/>
      <c r="DGN7" s="2206"/>
      <c r="DGO7" s="2206"/>
      <c r="DGP7" s="2206"/>
      <c r="DGQ7" s="2206"/>
      <c r="DGR7" s="2206"/>
      <c r="DGS7" s="2206"/>
      <c r="DGT7" s="2206"/>
      <c r="DGU7" s="2206"/>
      <c r="DGV7" s="2206"/>
      <c r="DGW7" s="2206"/>
      <c r="DGX7" s="2206"/>
      <c r="DGY7" s="2206"/>
      <c r="DGZ7" s="2206"/>
      <c r="DHA7" s="2206"/>
      <c r="DHB7" s="2206"/>
      <c r="DHC7" s="2206"/>
      <c r="DHD7" s="2206"/>
      <c r="DHE7" s="2206"/>
      <c r="DHF7" s="2206"/>
      <c r="DHG7" s="2206"/>
      <c r="DHH7" s="2206"/>
      <c r="DHI7" s="2206"/>
      <c r="DHJ7" s="2206"/>
      <c r="DHK7" s="2206"/>
      <c r="DHL7" s="2206"/>
      <c r="DHM7" s="2206"/>
      <c r="DHN7" s="2206"/>
      <c r="DHO7" s="2206"/>
      <c r="DHP7" s="2206"/>
      <c r="DHQ7" s="2206"/>
      <c r="DHR7" s="2206"/>
      <c r="DHS7" s="2206"/>
      <c r="DHT7" s="2206"/>
      <c r="DHU7" s="2206"/>
      <c r="DHV7" s="2206"/>
      <c r="DHW7" s="2206"/>
      <c r="DHX7" s="2206"/>
      <c r="DHY7" s="2206"/>
      <c r="DHZ7" s="2206"/>
      <c r="DIA7" s="2206"/>
      <c r="DIB7" s="2206"/>
      <c r="DIC7" s="2206"/>
      <c r="DID7" s="2206"/>
      <c r="DIE7" s="2206"/>
      <c r="DIF7" s="2206"/>
      <c r="DIG7" s="2206"/>
      <c r="DIH7" s="2206"/>
      <c r="DII7" s="2206"/>
      <c r="DIJ7" s="2206"/>
      <c r="DIK7" s="2206"/>
      <c r="DIL7" s="2206"/>
      <c r="DIM7" s="2206"/>
      <c r="DIN7" s="2206"/>
      <c r="DIO7" s="2206"/>
      <c r="DIP7" s="2206"/>
      <c r="DIQ7" s="2206"/>
      <c r="DIR7" s="2206"/>
      <c r="DIS7" s="2206"/>
      <c r="DIT7" s="2206"/>
      <c r="DIU7" s="2206"/>
      <c r="DIV7" s="2206"/>
      <c r="DIW7" s="2206"/>
      <c r="DIX7" s="2206"/>
      <c r="DIY7" s="2206"/>
      <c r="DIZ7" s="2206"/>
      <c r="DJA7" s="2206"/>
      <c r="DJB7" s="2206"/>
      <c r="DJC7" s="2206"/>
      <c r="DJD7" s="2206"/>
      <c r="DJE7" s="2206"/>
      <c r="DJF7" s="2206"/>
      <c r="DJG7" s="2206"/>
      <c r="DJH7" s="2206"/>
      <c r="DJI7" s="2206"/>
      <c r="DJJ7" s="2206"/>
      <c r="DJK7" s="2206"/>
      <c r="DJL7" s="2206"/>
      <c r="DJM7" s="2206"/>
      <c r="DJN7" s="2206"/>
      <c r="DJO7" s="2206"/>
      <c r="DJP7" s="2206"/>
      <c r="DJQ7" s="2206"/>
      <c r="DJR7" s="2206"/>
      <c r="DJS7" s="2206"/>
      <c r="DJT7" s="2206"/>
      <c r="DJU7" s="2206"/>
      <c r="DJV7" s="2206"/>
      <c r="DJW7" s="2206"/>
      <c r="DJX7" s="2206"/>
      <c r="DJY7" s="2206"/>
      <c r="DJZ7" s="2206"/>
      <c r="DKA7" s="2206"/>
      <c r="DKB7" s="2206"/>
      <c r="DKC7" s="2206"/>
      <c r="DKD7" s="2206"/>
      <c r="DKE7" s="2206"/>
      <c r="DKF7" s="2206"/>
      <c r="DKG7" s="2206"/>
      <c r="DKH7" s="2206"/>
      <c r="DKI7" s="2206"/>
      <c r="DKJ7" s="2206"/>
      <c r="DKK7" s="2206"/>
      <c r="DKL7" s="2206"/>
      <c r="DKM7" s="2206"/>
      <c r="DKN7" s="2206"/>
      <c r="DKO7" s="2206"/>
      <c r="DKP7" s="2206"/>
      <c r="DKQ7" s="2206"/>
      <c r="DKR7" s="2206"/>
      <c r="DKS7" s="2206"/>
      <c r="DKT7" s="2206"/>
      <c r="DKU7" s="2206"/>
      <c r="DKV7" s="2206"/>
      <c r="DKW7" s="2206"/>
      <c r="DKX7" s="2206"/>
      <c r="DKY7" s="2206"/>
      <c r="DKZ7" s="2206"/>
      <c r="DLA7" s="2206"/>
      <c r="DLB7" s="2206"/>
      <c r="DLC7" s="2206"/>
      <c r="DLD7" s="2206"/>
      <c r="DLE7" s="2206"/>
      <c r="DLF7" s="2206"/>
      <c r="DLG7" s="2206"/>
      <c r="DLH7" s="2206"/>
      <c r="DLI7" s="2206"/>
      <c r="DLJ7" s="2206"/>
      <c r="DLK7" s="2206"/>
      <c r="DLL7" s="2206"/>
      <c r="DLM7" s="2206"/>
      <c r="DLN7" s="2206"/>
      <c r="DLO7" s="2206"/>
      <c r="DLP7" s="2206"/>
      <c r="DLQ7" s="2206"/>
      <c r="DLR7" s="2206"/>
      <c r="DLS7" s="2206"/>
      <c r="DLT7" s="2206"/>
      <c r="DLU7" s="2206"/>
      <c r="DLV7" s="2206"/>
      <c r="DLW7" s="2206"/>
      <c r="DLX7" s="2206"/>
      <c r="DLY7" s="2206"/>
      <c r="DLZ7" s="2206"/>
      <c r="DMA7" s="2206"/>
      <c r="DMB7" s="2206"/>
      <c r="DMC7" s="2206"/>
      <c r="DMD7" s="2206"/>
      <c r="DME7" s="2206"/>
      <c r="DMF7" s="2206"/>
      <c r="DMG7" s="2206"/>
      <c r="DMH7" s="2206"/>
      <c r="DMI7" s="2206"/>
      <c r="DMJ7" s="2206"/>
      <c r="DMK7" s="2206"/>
      <c r="DML7" s="2206"/>
      <c r="DMM7" s="2206"/>
      <c r="DMN7" s="2206"/>
      <c r="DMO7" s="2206"/>
      <c r="DMP7" s="2206"/>
      <c r="DMQ7" s="2206"/>
      <c r="DMR7" s="2206"/>
      <c r="DMS7" s="2206"/>
      <c r="DMT7" s="2206"/>
      <c r="DMU7" s="2206"/>
      <c r="DMV7" s="2206"/>
      <c r="DMW7" s="2206"/>
      <c r="DMX7" s="2206"/>
      <c r="DMY7" s="2206"/>
      <c r="DMZ7" s="2206"/>
      <c r="DNA7" s="2206"/>
      <c r="DNB7" s="2206"/>
      <c r="DNC7" s="2206"/>
      <c r="DND7" s="2206"/>
      <c r="DNE7" s="2206"/>
      <c r="DNF7" s="2206"/>
      <c r="DNG7" s="2206"/>
      <c r="DNH7" s="2206"/>
      <c r="DNI7" s="2206"/>
      <c r="DNJ7" s="2206"/>
      <c r="DNK7" s="2206"/>
      <c r="DNL7" s="2206"/>
      <c r="DNM7" s="2206"/>
      <c r="DNN7" s="2206"/>
      <c r="DNO7" s="2206"/>
      <c r="DNP7" s="2206"/>
      <c r="DNQ7" s="2206"/>
      <c r="DNR7" s="2206"/>
      <c r="DNS7" s="2206"/>
      <c r="DNT7" s="2206"/>
      <c r="DNU7" s="2206"/>
      <c r="DNV7" s="2206"/>
      <c r="DNW7" s="2206"/>
      <c r="DNX7" s="2206"/>
      <c r="DNY7" s="2206"/>
      <c r="DNZ7" s="2206"/>
      <c r="DOA7" s="2206"/>
      <c r="DOB7" s="2206"/>
      <c r="DOC7" s="2206"/>
      <c r="DOD7" s="2206"/>
      <c r="DOE7" s="2206"/>
      <c r="DOF7" s="2206"/>
      <c r="DOG7" s="2206"/>
      <c r="DOH7" s="2206"/>
      <c r="DOI7" s="2206"/>
      <c r="DOJ7" s="2206"/>
      <c r="DOK7" s="2206"/>
      <c r="DOL7" s="2206"/>
      <c r="DOM7" s="2206"/>
      <c r="DON7" s="2206"/>
      <c r="DOO7" s="2206"/>
      <c r="DOP7" s="2206"/>
      <c r="DOQ7" s="2206"/>
      <c r="DOR7" s="2206"/>
      <c r="DOS7" s="2206"/>
      <c r="DOT7" s="2206"/>
      <c r="DOU7" s="2206"/>
      <c r="DOV7" s="2206"/>
      <c r="DOW7" s="2206"/>
      <c r="DOX7" s="2206"/>
      <c r="DOY7" s="2206"/>
      <c r="DOZ7" s="2206"/>
      <c r="DPA7" s="2206"/>
      <c r="DPB7" s="2206"/>
      <c r="DPC7" s="2206"/>
      <c r="DPD7" s="2206"/>
      <c r="DPE7" s="2206"/>
      <c r="DPF7" s="2206"/>
      <c r="DPG7" s="2206"/>
      <c r="DPH7" s="2206"/>
      <c r="DPI7" s="2206"/>
      <c r="DPJ7" s="2206"/>
      <c r="DPK7" s="2206"/>
      <c r="DPL7" s="2206"/>
      <c r="DPM7" s="2206"/>
      <c r="DPN7" s="2206"/>
      <c r="DPO7" s="2206"/>
      <c r="DPP7" s="2206"/>
      <c r="DPQ7" s="2206"/>
      <c r="DPR7" s="2206"/>
      <c r="DPS7" s="2206"/>
      <c r="DPT7" s="2206"/>
      <c r="DPU7" s="2206"/>
      <c r="DPV7" s="2206"/>
      <c r="DPW7" s="2206"/>
      <c r="DPX7" s="2206"/>
      <c r="DPY7" s="2206"/>
      <c r="DPZ7" s="2206"/>
      <c r="DQA7" s="2206"/>
      <c r="DQB7" s="2206"/>
      <c r="DQC7" s="2206"/>
      <c r="DQD7" s="2206"/>
      <c r="DQE7" s="2206"/>
      <c r="DQF7" s="2206"/>
      <c r="DQG7" s="2206"/>
      <c r="DQH7" s="2206"/>
      <c r="DQI7" s="2206"/>
      <c r="DQJ7" s="2206"/>
      <c r="DQK7" s="2206"/>
      <c r="DQL7" s="2206"/>
      <c r="DQM7" s="2206"/>
      <c r="DQN7" s="2206"/>
      <c r="DQO7" s="2206"/>
      <c r="DQP7" s="2206"/>
      <c r="DQQ7" s="2206"/>
      <c r="DQR7" s="2206"/>
      <c r="DQS7" s="2206"/>
      <c r="DQT7" s="2206"/>
      <c r="DQU7" s="2206"/>
      <c r="DQV7" s="2206"/>
      <c r="DQW7" s="2206"/>
      <c r="DQX7" s="2206"/>
      <c r="DQY7" s="2206"/>
      <c r="DQZ7" s="2206"/>
      <c r="DRA7" s="2206"/>
      <c r="DRB7" s="2206"/>
      <c r="DRC7" s="2206"/>
      <c r="DRD7" s="2206"/>
      <c r="DRE7" s="2206"/>
      <c r="DRF7" s="2206"/>
      <c r="DRG7" s="2206"/>
      <c r="DRH7" s="2206"/>
      <c r="DRI7" s="2206"/>
      <c r="DRJ7" s="2206"/>
      <c r="DRK7" s="2206"/>
      <c r="DRL7" s="2206"/>
      <c r="DRM7" s="2206"/>
      <c r="DRN7" s="2206"/>
      <c r="DRO7" s="2206"/>
      <c r="DRP7" s="2206"/>
      <c r="DRQ7" s="2206"/>
      <c r="DRR7" s="2206"/>
      <c r="DRS7" s="2206"/>
      <c r="DRT7" s="2206"/>
      <c r="DRU7" s="2206"/>
      <c r="DRV7" s="2206"/>
      <c r="DRW7" s="2206"/>
      <c r="DRX7" s="2206"/>
      <c r="DRY7" s="2206"/>
      <c r="DRZ7" s="2206"/>
      <c r="DSA7" s="2206"/>
      <c r="DSB7" s="2206"/>
      <c r="DSC7" s="2206"/>
      <c r="DSD7" s="2206"/>
      <c r="DSE7" s="2206"/>
      <c r="DSF7" s="2206"/>
      <c r="DSG7" s="2206"/>
      <c r="DSH7" s="2206"/>
      <c r="DSI7" s="2206"/>
      <c r="DSJ7" s="2206"/>
      <c r="DSK7" s="2206"/>
      <c r="DSL7" s="2206"/>
      <c r="DSM7" s="2206"/>
      <c r="DSN7" s="2206"/>
      <c r="DSO7" s="2206"/>
      <c r="DSP7" s="2206"/>
      <c r="DSQ7" s="2206"/>
      <c r="DSR7" s="2206"/>
      <c r="DSS7" s="2206"/>
      <c r="DST7" s="2206"/>
      <c r="DSU7" s="2206"/>
      <c r="DSV7" s="2206"/>
      <c r="DSW7" s="2206"/>
      <c r="DSX7" s="2206"/>
      <c r="DSY7" s="2206"/>
      <c r="DSZ7" s="2206"/>
      <c r="DTA7" s="2206"/>
      <c r="DTB7" s="2206"/>
      <c r="DTC7" s="2206"/>
      <c r="DTD7" s="2206"/>
      <c r="DTE7" s="2206"/>
      <c r="DTF7" s="2206"/>
      <c r="DTG7" s="2206"/>
      <c r="DTH7" s="2206"/>
      <c r="DTI7" s="2206"/>
      <c r="DTJ7" s="2206"/>
      <c r="DTK7" s="2206"/>
      <c r="DTL7" s="2206"/>
      <c r="DTM7" s="2206"/>
      <c r="DTN7" s="2206"/>
      <c r="DTO7" s="2206"/>
      <c r="DTP7" s="2206"/>
      <c r="DTQ7" s="2206"/>
      <c r="DTR7" s="2206"/>
      <c r="DTS7" s="2206"/>
      <c r="DTT7" s="2206"/>
      <c r="DTU7" s="2206"/>
      <c r="DTV7" s="2206"/>
      <c r="DTW7" s="2206"/>
      <c r="DTX7" s="2206"/>
      <c r="DTY7" s="2206"/>
      <c r="DTZ7" s="2206"/>
      <c r="DUA7" s="2206"/>
      <c r="DUB7" s="2206"/>
      <c r="DUC7" s="2206"/>
      <c r="DUD7" s="2206"/>
      <c r="DUE7" s="2206"/>
      <c r="DUF7" s="2206"/>
      <c r="DUG7" s="2206"/>
      <c r="DUH7" s="2206"/>
      <c r="DUI7" s="2206"/>
      <c r="DUJ7" s="2206"/>
      <c r="DUK7" s="2206"/>
      <c r="DUL7" s="2206"/>
      <c r="DUM7" s="2206"/>
      <c r="DUN7" s="2206"/>
      <c r="DUO7" s="2206"/>
      <c r="DUP7" s="2206"/>
      <c r="DUQ7" s="2206"/>
      <c r="DUR7" s="2206"/>
      <c r="DUS7" s="2206"/>
      <c r="DUT7" s="2206"/>
      <c r="DUU7" s="2206"/>
      <c r="DUV7" s="2206"/>
      <c r="DUW7" s="2206"/>
      <c r="DUX7" s="2206"/>
      <c r="DUY7" s="2206"/>
      <c r="DUZ7" s="2206"/>
      <c r="DVA7" s="2206"/>
      <c r="DVB7" s="2206"/>
      <c r="DVC7" s="2206"/>
      <c r="DVD7" s="2206"/>
      <c r="DVE7" s="2206"/>
      <c r="DVF7" s="2206"/>
      <c r="DVG7" s="2206"/>
      <c r="DVH7" s="2206"/>
      <c r="DVI7" s="2206"/>
      <c r="DVJ7" s="2206"/>
      <c r="DVK7" s="2206"/>
      <c r="DVL7" s="2206"/>
      <c r="DVM7" s="2206"/>
      <c r="DVN7" s="2206"/>
      <c r="DVO7" s="2206"/>
      <c r="DVP7" s="2206"/>
      <c r="DVQ7" s="2206"/>
      <c r="DVR7" s="2206"/>
      <c r="DVS7" s="2206"/>
      <c r="DVT7" s="2206"/>
      <c r="DVU7" s="2206"/>
      <c r="DVV7" s="2206"/>
      <c r="DVW7" s="2206"/>
      <c r="DVX7" s="2206"/>
      <c r="DVY7" s="2206"/>
      <c r="DVZ7" s="2206"/>
      <c r="DWA7" s="2206"/>
      <c r="DWB7" s="2206"/>
      <c r="DWC7" s="2206"/>
      <c r="DWD7" s="2206"/>
      <c r="DWE7" s="2206"/>
      <c r="DWF7" s="2206"/>
      <c r="DWG7" s="2206"/>
      <c r="DWH7" s="2206"/>
      <c r="DWI7" s="2206"/>
      <c r="DWJ7" s="2206"/>
      <c r="DWK7" s="2206"/>
      <c r="DWL7" s="2206"/>
      <c r="DWM7" s="2206"/>
      <c r="DWN7" s="2206"/>
      <c r="DWO7" s="2206"/>
      <c r="DWP7" s="2206"/>
      <c r="DWQ7" s="2206"/>
      <c r="DWR7" s="2206"/>
      <c r="DWS7" s="2206"/>
      <c r="DWT7" s="2206"/>
      <c r="DWU7" s="2206"/>
      <c r="DWV7" s="2206"/>
      <c r="DWW7" s="2206"/>
      <c r="DWX7" s="2206"/>
      <c r="DWY7" s="2206"/>
      <c r="DWZ7" s="2206"/>
      <c r="DXA7" s="2206"/>
      <c r="DXB7" s="2206"/>
      <c r="DXC7" s="2206"/>
      <c r="DXD7" s="2206"/>
      <c r="DXE7" s="2206"/>
      <c r="DXF7" s="2206"/>
      <c r="DXG7" s="2206"/>
      <c r="DXH7" s="2206"/>
      <c r="DXI7" s="2206"/>
      <c r="DXJ7" s="2206"/>
      <c r="DXK7" s="2206"/>
      <c r="DXL7" s="2206"/>
      <c r="DXM7" s="2206"/>
      <c r="DXN7" s="2206"/>
      <c r="DXO7" s="2206"/>
      <c r="DXP7" s="2206"/>
      <c r="DXQ7" s="2206"/>
      <c r="DXR7" s="2206"/>
      <c r="DXS7" s="2206"/>
      <c r="DXT7" s="2206"/>
      <c r="DXU7" s="2206"/>
      <c r="DXV7" s="2206"/>
      <c r="DXW7" s="2206"/>
      <c r="DXX7" s="2206"/>
      <c r="DXY7" s="2206"/>
      <c r="DXZ7" s="2206"/>
      <c r="DYA7" s="2206"/>
      <c r="DYB7" s="2206"/>
      <c r="DYC7" s="2206"/>
      <c r="DYD7" s="2206"/>
      <c r="DYE7" s="2206"/>
      <c r="DYF7" s="2206"/>
      <c r="DYG7" s="2206"/>
      <c r="DYH7" s="2206"/>
      <c r="DYI7" s="2206"/>
      <c r="DYJ7" s="2206"/>
      <c r="DYK7" s="2206"/>
      <c r="DYL7" s="2206"/>
      <c r="DYM7" s="2206"/>
      <c r="DYN7" s="2206"/>
      <c r="DYO7" s="2206"/>
      <c r="DYP7" s="2206"/>
      <c r="DYQ7" s="2206"/>
      <c r="DYR7" s="2206"/>
      <c r="DYS7" s="2206"/>
      <c r="DYT7" s="2206"/>
      <c r="DYU7" s="2206"/>
      <c r="DYV7" s="2206"/>
      <c r="DYW7" s="2206"/>
      <c r="DYX7" s="2206"/>
      <c r="DYY7" s="2206"/>
      <c r="DYZ7" s="2206"/>
      <c r="DZA7" s="2206"/>
      <c r="DZB7" s="2206"/>
      <c r="DZC7" s="2206"/>
      <c r="DZD7" s="2206"/>
      <c r="DZE7" s="2206"/>
      <c r="DZF7" s="2206"/>
      <c r="DZG7" s="2206"/>
      <c r="DZH7" s="2206"/>
      <c r="DZI7" s="2206"/>
      <c r="DZJ7" s="2206"/>
      <c r="DZK7" s="2206"/>
      <c r="DZL7" s="2206"/>
      <c r="DZM7" s="2206"/>
      <c r="DZN7" s="2206"/>
      <c r="DZO7" s="2206"/>
      <c r="DZP7" s="2206"/>
      <c r="DZQ7" s="2206"/>
      <c r="DZR7" s="2206"/>
      <c r="DZS7" s="2206"/>
      <c r="DZT7" s="2206"/>
      <c r="DZU7" s="2206"/>
      <c r="DZV7" s="2206"/>
      <c r="DZW7" s="2206"/>
      <c r="DZX7" s="2206"/>
      <c r="DZY7" s="2206"/>
      <c r="DZZ7" s="2206"/>
      <c r="EAA7" s="2206"/>
      <c r="EAB7" s="2206"/>
      <c r="EAC7" s="2206"/>
      <c r="EAD7" s="2206"/>
      <c r="EAE7" s="2206"/>
      <c r="EAF7" s="2206"/>
      <c r="EAG7" s="2206"/>
      <c r="EAH7" s="2206"/>
      <c r="EAI7" s="2206"/>
      <c r="EAJ7" s="2206"/>
      <c r="EAK7" s="2206"/>
      <c r="EAL7" s="2206"/>
      <c r="EAM7" s="2206"/>
      <c r="EAN7" s="2206"/>
      <c r="EAO7" s="2206"/>
      <c r="EAP7" s="2206"/>
      <c r="EAQ7" s="2206"/>
      <c r="EAR7" s="2206"/>
      <c r="EAS7" s="2206"/>
      <c r="EAT7" s="2206"/>
      <c r="EAU7" s="2206"/>
      <c r="EAV7" s="2206"/>
      <c r="EAW7" s="2206"/>
      <c r="EAX7" s="2206"/>
      <c r="EAY7" s="2206"/>
      <c r="EAZ7" s="2206"/>
      <c r="EBA7" s="2206"/>
      <c r="EBB7" s="2206"/>
      <c r="EBC7" s="2206"/>
      <c r="EBD7" s="2206"/>
      <c r="EBE7" s="2206"/>
      <c r="EBF7" s="2206"/>
      <c r="EBG7" s="2206"/>
      <c r="EBH7" s="2206"/>
      <c r="EBI7" s="2206"/>
      <c r="EBJ7" s="2206"/>
      <c r="EBK7" s="2206"/>
      <c r="EBL7" s="2206"/>
      <c r="EBM7" s="2206"/>
      <c r="EBN7" s="2206"/>
      <c r="EBO7" s="2206"/>
      <c r="EBP7" s="2206"/>
      <c r="EBQ7" s="2206"/>
      <c r="EBR7" s="2206"/>
      <c r="EBS7" s="2206"/>
      <c r="EBT7" s="2206"/>
      <c r="EBU7" s="2206"/>
      <c r="EBV7" s="2206"/>
      <c r="EBW7" s="2206"/>
      <c r="EBX7" s="2206"/>
      <c r="EBY7" s="2206"/>
      <c r="EBZ7" s="2206"/>
      <c r="ECA7" s="2206"/>
      <c r="ECB7" s="2206"/>
      <c r="ECC7" s="2206"/>
      <c r="ECD7" s="2206"/>
      <c r="ECE7" s="2206"/>
      <c r="ECF7" s="2206"/>
      <c r="ECG7" s="2206"/>
      <c r="ECH7" s="2206"/>
      <c r="ECI7" s="2206"/>
      <c r="ECJ7" s="2206"/>
      <c r="ECK7" s="2206"/>
      <c r="ECL7" s="2206"/>
      <c r="ECM7" s="2206"/>
      <c r="ECN7" s="2206"/>
      <c r="ECO7" s="2206"/>
      <c r="ECP7" s="2206"/>
      <c r="ECQ7" s="2206"/>
      <c r="ECR7" s="2206"/>
      <c r="ECS7" s="2206"/>
      <c r="ECT7" s="2206"/>
      <c r="ECU7" s="2206"/>
      <c r="ECV7" s="2206"/>
      <c r="ECW7" s="2206"/>
      <c r="ECX7" s="2206"/>
      <c r="ECY7" s="2206"/>
      <c r="ECZ7" s="2206"/>
      <c r="EDA7" s="2206"/>
      <c r="EDB7" s="2206"/>
      <c r="EDC7" s="2206"/>
      <c r="EDD7" s="2206"/>
      <c r="EDE7" s="2206"/>
      <c r="EDF7" s="2206"/>
      <c r="EDG7" s="2206"/>
      <c r="EDH7" s="2206"/>
      <c r="EDI7" s="2206"/>
      <c r="EDJ7" s="2206"/>
      <c r="EDK7" s="2206"/>
      <c r="EDL7" s="2206"/>
      <c r="EDM7" s="2206"/>
      <c r="EDN7" s="2206"/>
      <c r="EDO7" s="2206"/>
      <c r="EDP7" s="2206"/>
      <c r="EDQ7" s="2206"/>
      <c r="EDR7" s="2206"/>
      <c r="EDS7" s="2206"/>
      <c r="EDT7" s="2206"/>
      <c r="EDU7" s="2206"/>
      <c r="EDV7" s="2206"/>
      <c r="EDW7" s="2206"/>
      <c r="EDX7" s="2206"/>
      <c r="EDY7" s="2206"/>
      <c r="EDZ7" s="2206"/>
      <c r="EEA7" s="2206"/>
      <c r="EEB7" s="2206"/>
      <c r="EEC7" s="2206"/>
      <c r="EED7" s="2206"/>
      <c r="EEE7" s="2206"/>
      <c r="EEF7" s="2206"/>
      <c r="EEG7" s="2206"/>
      <c r="EEH7" s="2206"/>
      <c r="EEI7" s="2206"/>
      <c r="EEJ7" s="2206"/>
      <c r="EEK7" s="2206"/>
      <c r="EEL7" s="2206"/>
      <c r="EEM7" s="2206"/>
      <c r="EEN7" s="2206"/>
      <c r="EEO7" s="2206"/>
      <c r="EEP7" s="2206"/>
      <c r="EEQ7" s="2206"/>
      <c r="EER7" s="2206"/>
      <c r="EES7" s="2206"/>
      <c r="EET7" s="2206"/>
      <c r="EEU7" s="2206"/>
      <c r="EEV7" s="2206"/>
      <c r="EEW7" s="2206"/>
      <c r="EEX7" s="2206"/>
      <c r="EEY7" s="2206"/>
      <c r="EEZ7" s="2206"/>
      <c r="EFA7" s="2206"/>
      <c r="EFB7" s="2206"/>
      <c r="EFC7" s="2206"/>
      <c r="EFD7" s="2206"/>
      <c r="EFE7" s="2206"/>
      <c r="EFF7" s="2206"/>
      <c r="EFG7" s="2206"/>
      <c r="EFH7" s="2206"/>
      <c r="EFI7" s="2206"/>
      <c r="EFJ7" s="2206"/>
      <c r="EFK7" s="2206"/>
      <c r="EFL7" s="2206"/>
      <c r="EFM7" s="2206"/>
      <c r="EFN7" s="2206"/>
      <c r="EFO7" s="2206"/>
      <c r="EFP7" s="2206"/>
      <c r="EFQ7" s="2206"/>
      <c r="EFR7" s="2206"/>
      <c r="EFS7" s="2206"/>
      <c r="EFT7" s="2206"/>
      <c r="EFU7" s="2206"/>
      <c r="EFV7" s="2206"/>
      <c r="EFW7" s="2206"/>
      <c r="EFX7" s="2206"/>
      <c r="EFY7" s="2206"/>
      <c r="EFZ7" s="2206"/>
      <c r="EGA7" s="2206"/>
      <c r="EGB7" s="2206"/>
      <c r="EGC7" s="2206"/>
      <c r="EGD7" s="2206"/>
      <c r="EGE7" s="2206"/>
      <c r="EGF7" s="2206"/>
      <c r="EGG7" s="2206"/>
      <c r="EGH7" s="2206"/>
      <c r="EGI7" s="2206"/>
      <c r="EGJ7" s="2206"/>
      <c r="EGK7" s="2206"/>
      <c r="EGL7" s="2206"/>
      <c r="EGM7" s="2206"/>
      <c r="EGN7" s="2206"/>
      <c r="EGO7" s="2206"/>
      <c r="EGP7" s="2206"/>
      <c r="EGQ7" s="2206"/>
      <c r="EGR7" s="2206"/>
      <c r="EGS7" s="2206"/>
      <c r="EGT7" s="2206"/>
      <c r="EGU7" s="2206"/>
      <c r="EGV7" s="2206"/>
      <c r="EGW7" s="2206"/>
      <c r="EGX7" s="2206"/>
      <c r="EGY7" s="2206"/>
      <c r="EGZ7" s="2206"/>
      <c r="EHA7" s="2206"/>
      <c r="EHB7" s="2206"/>
      <c r="EHC7" s="2206"/>
      <c r="EHD7" s="2206"/>
      <c r="EHE7" s="2206"/>
      <c r="EHF7" s="2206"/>
      <c r="EHG7" s="2206"/>
      <c r="EHH7" s="2206"/>
      <c r="EHI7" s="2206"/>
      <c r="EHJ7" s="2206"/>
      <c r="EHK7" s="2206"/>
      <c r="EHL7" s="2206"/>
      <c r="EHM7" s="2206"/>
      <c r="EHN7" s="2206"/>
      <c r="EHO7" s="2206"/>
      <c r="EHP7" s="2206"/>
      <c r="EHQ7" s="2206"/>
      <c r="EHR7" s="2206"/>
      <c r="EHS7" s="2206"/>
      <c r="EHT7" s="2206"/>
      <c r="EHU7" s="2206"/>
      <c r="EHV7" s="2206"/>
      <c r="EHW7" s="2206"/>
      <c r="EHX7" s="2206"/>
      <c r="EHY7" s="2206"/>
      <c r="EHZ7" s="2206"/>
      <c r="EIA7" s="2206"/>
      <c r="EIB7" s="2206"/>
      <c r="EIC7" s="2206"/>
      <c r="EID7" s="2206"/>
      <c r="EIE7" s="2206"/>
      <c r="EIF7" s="2206"/>
      <c r="EIG7" s="2206"/>
      <c r="EIH7" s="2206"/>
      <c r="EII7" s="2206"/>
      <c r="EIJ7" s="2206"/>
      <c r="EIK7" s="2206"/>
      <c r="EIL7" s="2206"/>
      <c r="EIM7" s="2206"/>
      <c r="EIN7" s="2206"/>
      <c r="EIO7" s="2206"/>
      <c r="EIP7" s="2206"/>
      <c r="EIQ7" s="2206"/>
      <c r="EIR7" s="2206"/>
      <c r="EIS7" s="2206"/>
      <c r="EIT7" s="2206"/>
      <c r="EIU7" s="2206"/>
      <c r="EIV7" s="2206"/>
      <c r="EIW7" s="2206"/>
      <c r="EIX7" s="2206"/>
      <c r="EIY7" s="2206"/>
      <c r="EIZ7" s="2206"/>
      <c r="EJA7" s="2206"/>
      <c r="EJB7" s="2206"/>
      <c r="EJC7" s="2206"/>
      <c r="EJD7" s="2206"/>
      <c r="EJE7" s="2206"/>
      <c r="EJF7" s="2206"/>
      <c r="EJG7" s="2206"/>
      <c r="EJH7" s="2206"/>
      <c r="EJI7" s="2206"/>
      <c r="EJJ7" s="2206"/>
      <c r="EJK7" s="2206"/>
      <c r="EJL7" s="2206"/>
      <c r="EJM7" s="2206"/>
      <c r="EJN7" s="2206"/>
      <c r="EJO7" s="2206"/>
      <c r="EJP7" s="2206"/>
      <c r="EJQ7" s="2206"/>
      <c r="EJR7" s="2206"/>
      <c r="EJS7" s="2206"/>
      <c r="EJT7" s="2206"/>
      <c r="EJU7" s="2206"/>
      <c r="EJV7" s="2206"/>
      <c r="EJW7" s="2206"/>
      <c r="EJX7" s="2206"/>
      <c r="EJY7" s="2206"/>
      <c r="EJZ7" s="2206"/>
      <c r="EKA7" s="2206"/>
      <c r="EKB7" s="2206"/>
      <c r="EKC7" s="2206"/>
      <c r="EKD7" s="2206"/>
      <c r="EKE7" s="2206"/>
      <c r="EKF7" s="2206"/>
      <c r="EKG7" s="2206"/>
      <c r="EKH7" s="2206"/>
      <c r="EKI7" s="2206"/>
      <c r="EKJ7" s="2206"/>
      <c r="EKK7" s="2206"/>
      <c r="EKL7" s="2206"/>
      <c r="EKM7" s="2206"/>
      <c r="EKN7" s="2206"/>
      <c r="EKO7" s="2206"/>
      <c r="EKP7" s="2206"/>
      <c r="EKQ7" s="2206"/>
      <c r="EKR7" s="2206"/>
      <c r="EKS7" s="2206"/>
      <c r="EKT7" s="2206"/>
      <c r="EKU7" s="2206"/>
      <c r="EKV7" s="2206"/>
      <c r="EKW7" s="2206"/>
      <c r="EKX7" s="2206"/>
      <c r="EKY7" s="2206"/>
      <c r="EKZ7" s="2206"/>
      <c r="ELA7" s="2206"/>
      <c r="ELB7" s="2206"/>
      <c r="ELC7" s="2206"/>
      <c r="ELD7" s="2206"/>
      <c r="ELE7" s="2206"/>
      <c r="ELF7" s="2206"/>
      <c r="ELG7" s="2206"/>
      <c r="ELH7" s="2206"/>
      <c r="ELI7" s="2206"/>
      <c r="ELJ7" s="2206"/>
      <c r="ELK7" s="2206"/>
      <c r="ELL7" s="2206"/>
      <c r="ELM7" s="2206"/>
      <c r="ELN7" s="2206"/>
      <c r="ELO7" s="2206"/>
      <c r="ELP7" s="2206"/>
      <c r="ELQ7" s="2206"/>
      <c r="ELR7" s="2206"/>
      <c r="ELS7" s="2206"/>
      <c r="ELT7" s="2206"/>
      <c r="ELU7" s="2206"/>
      <c r="ELV7" s="2206"/>
      <c r="ELW7" s="2206"/>
      <c r="ELX7" s="2206"/>
      <c r="ELY7" s="2206"/>
      <c r="ELZ7" s="2206"/>
      <c r="EMA7" s="2206"/>
      <c r="EMB7" s="2206"/>
      <c r="EMC7" s="2206"/>
      <c r="EMD7" s="2206"/>
      <c r="EME7" s="2206"/>
      <c r="EMF7" s="2206"/>
      <c r="EMG7" s="2206"/>
      <c r="EMH7" s="2206"/>
      <c r="EMI7" s="2206"/>
      <c r="EMJ7" s="2206"/>
      <c r="EMK7" s="2206"/>
      <c r="EML7" s="2206"/>
      <c r="EMM7" s="2206"/>
      <c r="EMN7" s="2206"/>
      <c r="EMO7" s="2206"/>
      <c r="EMP7" s="2206"/>
      <c r="EMQ7" s="2206"/>
      <c r="EMR7" s="2206"/>
      <c r="EMS7" s="2206"/>
      <c r="EMT7" s="2206"/>
      <c r="EMU7" s="2206"/>
      <c r="EMV7" s="2206"/>
      <c r="EMW7" s="2206"/>
      <c r="EMX7" s="2206"/>
      <c r="EMY7" s="2206"/>
      <c r="EMZ7" s="2206"/>
      <c r="ENA7" s="2206"/>
      <c r="ENB7" s="2206"/>
      <c r="ENC7" s="2206"/>
      <c r="END7" s="2206"/>
      <c r="ENE7" s="2206"/>
      <c r="ENF7" s="2206"/>
      <c r="ENG7" s="2206"/>
      <c r="ENH7" s="2206"/>
      <c r="ENI7" s="2206"/>
      <c r="ENJ7" s="2206"/>
      <c r="ENK7" s="2206"/>
      <c r="ENL7" s="2206"/>
      <c r="ENM7" s="2206"/>
      <c r="ENN7" s="2206"/>
      <c r="ENO7" s="2206"/>
      <c r="ENP7" s="2206"/>
      <c r="ENQ7" s="2206"/>
      <c r="ENR7" s="2206"/>
      <c r="ENS7" s="2206"/>
      <c r="ENT7" s="2206"/>
      <c r="ENU7" s="2206"/>
      <c r="ENV7" s="2206"/>
      <c r="ENW7" s="2206"/>
      <c r="ENX7" s="2206"/>
      <c r="ENY7" s="2206"/>
      <c r="ENZ7" s="2206"/>
      <c r="EOA7" s="2206"/>
      <c r="EOB7" s="2206"/>
      <c r="EOC7" s="2206"/>
      <c r="EOD7" s="2206"/>
      <c r="EOE7" s="2206"/>
      <c r="EOF7" s="2206"/>
      <c r="EOG7" s="2206"/>
      <c r="EOH7" s="2206"/>
      <c r="EOI7" s="2206"/>
      <c r="EOJ7" s="2206"/>
      <c r="EOK7" s="2206"/>
      <c r="EOL7" s="2206"/>
      <c r="EOM7" s="2206"/>
      <c r="EON7" s="2206"/>
      <c r="EOO7" s="2206"/>
      <c r="EOP7" s="2206"/>
      <c r="EOQ7" s="2206"/>
      <c r="EOR7" s="2206"/>
      <c r="EOS7" s="2206"/>
      <c r="EOT7" s="2206"/>
      <c r="EOU7" s="2206"/>
      <c r="EOV7" s="2206"/>
      <c r="EOW7" s="2206"/>
      <c r="EOX7" s="2206"/>
      <c r="EOY7" s="2206"/>
      <c r="EOZ7" s="2206"/>
      <c r="EPA7" s="2206"/>
      <c r="EPB7" s="2206"/>
      <c r="EPC7" s="2206"/>
      <c r="EPD7" s="2206"/>
      <c r="EPE7" s="2206"/>
      <c r="EPF7" s="2206"/>
      <c r="EPG7" s="2206"/>
      <c r="EPH7" s="2206"/>
      <c r="EPI7" s="2206"/>
      <c r="EPJ7" s="2206"/>
      <c r="EPK7" s="2206"/>
      <c r="EPL7" s="2206"/>
      <c r="EPM7" s="2206"/>
      <c r="EPN7" s="2206"/>
      <c r="EPO7" s="2206"/>
      <c r="EPP7" s="2206"/>
      <c r="EPQ7" s="2206"/>
      <c r="EPR7" s="2206"/>
      <c r="EPS7" s="2206"/>
      <c r="EPT7" s="2206"/>
      <c r="EPU7" s="2206"/>
      <c r="EPV7" s="2206"/>
      <c r="EPW7" s="2206"/>
      <c r="EPX7" s="2206"/>
      <c r="EPY7" s="2206"/>
      <c r="EPZ7" s="2206"/>
      <c r="EQA7" s="2206"/>
      <c r="EQB7" s="2206"/>
      <c r="EQC7" s="2206"/>
      <c r="EQD7" s="2206"/>
      <c r="EQE7" s="2206"/>
      <c r="EQF7" s="2206"/>
      <c r="EQG7" s="2206"/>
      <c r="EQH7" s="2206"/>
      <c r="EQI7" s="2206"/>
      <c r="EQJ7" s="2206"/>
      <c r="EQK7" s="2206"/>
      <c r="EQL7" s="2206"/>
      <c r="EQM7" s="2206"/>
      <c r="EQN7" s="2206"/>
      <c r="EQO7" s="2206"/>
      <c r="EQP7" s="2206"/>
      <c r="EQQ7" s="2206"/>
      <c r="EQR7" s="2206"/>
      <c r="EQS7" s="2206"/>
      <c r="EQT7" s="2206"/>
      <c r="EQU7" s="2206"/>
      <c r="EQV7" s="2206"/>
      <c r="EQW7" s="2206"/>
      <c r="EQX7" s="2206"/>
      <c r="EQY7" s="2206"/>
      <c r="EQZ7" s="2206"/>
      <c r="ERA7" s="2206"/>
      <c r="ERB7" s="2206"/>
      <c r="ERC7" s="2206"/>
      <c r="ERD7" s="2206"/>
      <c r="ERE7" s="2206"/>
      <c r="ERF7" s="2206"/>
      <c r="ERG7" s="2206"/>
      <c r="ERH7" s="2206"/>
      <c r="ERI7" s="2206"/>
      <c r="ERJ7" s="2206"/>
      <c r="ERK7" s="2206"/>
      <c r="ERL7" s="2206"/>
      <c r="ERM7" s="2206"/>
      <c r="ERN7" s="2206"/>
      <c r="ERO7" s="2206"/>
      <c r="ERP7" s="2206"/>
      <c r="ERQ7" s="2206"/>
      <c r="ERR7" s="2206"/>
      <c r="ERS7" s="2206"/>
      <c r="ERT7" s="2206"/>
      <c r="ERU7" s="2206"/>
      <c r="ERV7" s="2206"/>
      <c r="ERW7" s="2206"/>
      <c r="ERX7" s="2206"/>
      <c r="ERY7" s="2206"/>
      <c r="ERZ7" s="2206"/>
      <c r="ESA7" s="2206"/>
      <c r="ESB7" s="2206"/>
      <c r="ESC7" s="2206"/>
      <c r="ESD7" s="2206"/>
      <c r="ESE7" s="2206"/>
      <c r="ESF7" s="2206"/>
      <c r="ESG7" s="2206"/>
      <c r="ESH7" s="2206"/>
      <c r="ESI7" s="2206"/>
      <c r="ESJ7" s="2206"/>
      <c r="ESK7" s="2206"/>
      <c r="ESL7" s="2206"/>
      <c r="ESM7" s="2206"/>
      <c r="ESN7" s="2206"/>
      <c r="ESO7" s="2206"/>
      <c r="ESP7" s="2206"/>
      <c r="ESQ7" s="2206"/>
      <c r="ESR7" s="2206"/>
      <c r="ESS7" s="2206"/>
      <c r="EST7" s="2206"/>
      <c r="ESU7" s="2206"/>
      <c r="ESV7" s="2206"/>
      <c r="ESW7" s="2206"/>
      <c r="ESX7" s="2206"/>
      <c r="ESY7" s="2206"/>
      <c r="ESZ7" s="2206"/>
      <c r="ETA7" s="2206"/>
      <c r="ETB7" s="2206"/>
      <c r="ETC7" s="2206"/>
      <c r="ETD7" s="2206"/>
      <c r="ETE7" s="2206"/>
      <c r="ETF7" s="2206"/>
      <c r="ETG7" s="2206"/>
      <c r="ETH7" s="2206"/>
      <c r="ETI7" s="2206"/>
      <c r="ETJ7" s="2206"/>
      <c r="ETK7" s="2206"/>
      <c r="ETL7" s="2206"/>
      <c r="ETM7" s="2206"/>
      <c r="ETN7" s="2206"/>
      <c r="ETO7" s="2206"/>
      <c r="ETP7" s="2206"/>
      <c r="ETQ7" s="2206"/>
      <c r="ETR7" s="2206"/>
      <c r="ETS7" s="2206"/>
      <c r="ETT7" s="2206"/>
      <c r="ETU7" s="2206"/>
      <c r="ETV7" s="2206"/>
      <c r="ETW7" s="2206"/>
      <c r="ETX7" s="2206"/>
      <c r="ETY7" s="2206"/>
      <c r="ETZ7" s="2206"/>
      <c r="EUA7" s="2206"/>
      <c r="EUB7" s="2206"/>
      <c r="EUC7" s="2206"/>
      <c r="EUD7" s="2206"/>
      <c r="EUE7" s="2206"/>
      <c r="EUF7" s="2206"/>
      <c r="EUG7" s="2206"/>
      <c r="EUH7" s="2206"/>
      <c r="EUI7" s="2206"/>
      <c r="EUJ7" s="2206"/>
      <c r="EUK7" s="2206"/>
      <c r="EUL7" s="2206"/>
      <c r="EUM7" s="2206"/>
      <c r="EUN7" s="2206"/>
      <c r="EUO7" s="2206"/>
      <c r="EUP7" s="2206"/>
      <c r="EUQ7" s="2206"/>
      <c r="EUR7" s="2206"/>
      <c r="EUS7" s="2206"/>
      <c r="EUT7" s="2206"/>
      <c r="EUU7" s="2206"/>
      <c r="EUV7" s="2206"/>
      <c r="EUW7" s="2206"/>
      <c r="EUX7" s="2206"/>
      <c r="EUY7" s="2206"/>
      <c r="EUZ7" s="2206"/>
      <c r="EVA7" s="2206"/>
      <c r="EVB7" s="2206"/>
      <c r="EVC7" s="2206"/>
      <c r="EVD7" s="2206"/>
      <c r="EVE7" s="2206"/>
      <c r="EVF7" s="2206"/>
      <c r="EVG7" s="2206"/>
      <c r="EVH7" s="2206"/>
      <c r="EVI7" s="2206"/>
      <c r="EVJ7" s="2206"/>
      <c r="EVK7" s="2206"/>
      <c r="EVL7" s="2206"/>
      <c r="EVM7" s="2206"/>
      <c r="EVN7" s="2206"/>
      <c r="EVO7" s="2206"/>
      <c r="EVP7" s="2206"/>
      <c r="EVQ7" s="2206"/>
      <c r="EVR7" s="2206"/>
      <c r="EVS7" s="2206"/>
      <c r="EVT7" s="2206"/>
      <c r="EVU7" s="2206"/>
      <c r="EVV7" s="2206"/>
      <c r="EVW7" s="2206"/>
      <c r="EVX7" s="2206"/>
      <c r="EVY7" s="2206"/>
      <c r="EVZ7" s="2206"/>
      <c r="EWA7" s="2206"/>
      <c r="EWB7" s="2206"/>
      <c r="EWC7" s="2206"/>
      <c r="EWD7" s="2206"/>
      <c r="EWE7" s="2206"/>
      <c r="EWF7" s="2206"/>
      <c r="EWG7" s="2206"/>
      <c r="EWH7" s="2206"/>
      <c r="EWI7" s="2206"/>
      <c r="EWJ7" s="2206"/>
      <c r="EWK7" s="2206"/>
      <c r="EWL7" s="2206"/>
      <c r="EWM7" s="2206"/>
      <c r="EWN7" s="2206"/>
      <c r="EWO7" s="2206"/>
      <c r="EWP7" s="2206"/>
      <c r="EWQ7" s="2206"/>
      <c r="EWR7" s="2206"/>
      <c r="EWS7" s="2206"/>
      <c r="EWT7" s="2206"/>
      <c r="EWU7" s="2206"/>
      <c r="EWV7" s="2206"/>
      <c r="EWW7" s="2206"/>
      <c r="EWX7" s="2206"/>
      <c r="EWY7" s="2206"/>
      <c r="EWZ7" s="2206"/>
      <c r="EXA7" s="2206"/>
      <c r="EXB7" s="2206"/>
      <c r="EXC7" s="2206"/>
      <c r="EXD7" s="2206"/>
      <c r="EXE7" s="2206"/>
      <c r="EXF7" s="2206"/>
      <c r="EXG7" s="2206"/>
      <c r="EXH7" s="2206"/>
      <c r="EXI7" s="2206"/>
      <c r="EXJ7" s="2206"/>
      <c r="EXK7" s="2206"/>
      <c r="EXL7" s="2206"/>
      <c r="EXM7" s="2206"/>
      <c r="EXN7" s="2206"/>
      <c r="EXO7" s="2206"/>
      <c r="EXP7" s="2206"/>
      <c r="EXQ7" s="2206"/>
      <c r="EXR7" s="2206"/>
      <c r="EXS7" s="2206"/>
      <c r="EXT7" s="2206"/>
      <c r="EXU7" s="2206"/>
      <c r="EXV7" s="2206"/>
      <c r="EXW7" s="2206"/>
      <c r="EXX7" s="2206"/>
      <c r="EXY7" s="2206"/>
      <c r="EXZ7" s="2206"/>
      <c r="EYA7" s="2206"/>
      <c r="EYB7" s="2206"/>
      <c r="EYC7" s="2206"/>
      <c r="EYD7" s="2206"/>
      <c r="EYE7" s="2206"/>
      <c r="EYF7" s="2206"/>
      <c r="EYG7" s="2206"/>
      <c r="EYH7" s="2206"/>
      <c r="EYI7" s="2206"/>
      <c r="EYJ7" s="2206"/>
      <c r="EYK7" s="2206"/>
      <c r="EYL7" s="2206"/>
      <c r="EYM7" s="2206"/>
      <c r="EYN7" s="2206"/>
      <c r="EYO7" s="2206"/>
      <c r="EYP7" s="2206"/>
      <c r="EYQ7" s="2206"/>
      <c r="EYR7" s="2206"/>
      <c r="EYS7" s="2206"/>
      <c r="EYT7" s="2206"/>
      <c r="EYU7" s="2206"/>
      <c r="EYV7" s="2206"/>
      <c r="EYW7" s="2206"/>
      <c r="EYX7" s="2206"/>
      <c r="EYY7" s="2206"/>
      <c r="EYZ7" s="2206"/>
      <c r="EZA7" s="2206"/>
      <c r="EZB7" s="2206"/>
      <c r="EZC7" s="2206"/>
      <c r="EZD7" s="2206"/>
      <c r="EZE7" s="2206"/>
      <c r="EZF7" s="2206"/>
      <c r="EZG7" s="2206"/>
      <c r="EZH7" s="2206"/>
      <c r="EZI7" s="2206"/>
      <c r="EZJ7" s="2206"/>
      <c r="EZK7" s="2206"/>
      <c r="EZL7" s="2206"/>
      <c r="EZM7" s="2206"/>
      <c r="EZN7" s="2206"/>
      <c r="EZO7" s="2206"/>
      <c r="EZP7" s="2206"/>
      <c r="EZQ7" s="2206"/>
      <c r="EZR7" s="2206"/>
      <c r="EZS7" s="2206"/>
      <c r="EZT7" s="2206"/>
      <c r="EZU7" s="2206"/>
      <c r="EZV7" s="2206"/>
      <c r="EZW7" s="2206"/>
      <c r="EZX7" s="2206"/>
      <c r="EZY7" s="2206"/>
      <c r="EZZ7" s="2206"/>
      <c r="FAA7" s="2206"/>
      <c r="FAB7" s="2206"/>
      <c r="FAC7" s="2206"/>
      <c r="FAD7" s="2206"/>
      <c r="FAE7" s="2206"/>
      <c r="FAF7" s="2206"/>
      <c r="FAG7" s="2206"/>
      <c r="FAH7" s="2206"/>
      <c r="FAI7" s="2206"/>
      <c r="FAJ7" s="2206"/>
      <c r="FAK7" s="2206"/>
      <c r="FAL7" s="2206"/>
      <c r="FAM7" s="2206"/>
      <c r="FAN7" s="2206"/>
      <c r="FAO7" s="2206"/>
      <c r="FAP7" s="2206"/>
      <c r="FAQ7" s="2206"/>
      <c r="FAR7" s="2206"/>
      <c r="FAS7" s="2206"/>
      <c r="FAT7" s="2206"/>
      <c r="FAU7" s="2206"/>
      <c r="FAV7" s="2206"/>
      <c r="FAW7" s="2206"/>
      <c r="FAX7" s="2206"/>
      <c r="FAY7" s="2206"/>
      <c r="FAZ7" s="2206"/>
      <c r="FBA7" s="2206"/>
      <c r="FBB7" s="2206"/>
      <c r="FBC7" s="2206"/>
      <c r="FBD7" s="2206"/>
      <c r="FBE7" s="2206"/>
      <c r="FBF7" s="2206"/>
      <c r="FBG7" s="2206"/>
      <c r="FBH7" s="2206"/>
      <c r="FBI7" s="2206"/>
      <c r="FBJ7" s="2206"/>
      <c r="FBK7" s="2206"/>
      <c r="FBL7" s="2206"/>
      <c r="FBM7" s="2206"/>
      <c r="FBN7" s="2206"/>
      <c r="FBO7" s="2206"/>
      <c r="FBP7" s="2206"/>
      <c r="FBQ7" s="2206"/>
      <c r="FBR7" s="2206"/>
      <c r="FBS7" s="2206"/>
      <c r="FBT7" s="2206"/>
      <c r="FBU7" s="2206"/>
      <c r="FBV7" s="2206"/>
      <c r="FBW7" s="2206"/>
      <c r="FBX7" s="2206"/>
      <c r="FBY7" s="2206"/>
      <c r="FBZ7" s="2206"/>
      <c r="FCA7" s="2206"/>
      <c r="FCB7" s="2206"/>
      <c r="FCC7" s="2206"/>
      <c r="FCD7" s="2206"/>
      <c r="FCE7" s="2206"/>
      <c r="FCF7" s="2206"/>
      <c r="FCG7" s="2206"/>
      <c r="FCH7" s="2206"/>
      <c r="FCI7" s="2206"/>
      <c r="FCJ7" s="2206"/>
      <c r="FCK7" s="2206"/>
      <c r="FCL7" s="2206"/>
      <c r="FCM7" s="2206"/>
      <c r="FCN7" s="2206"/>
      <c r="FCO7" s="2206"/>
      <c r="FCP7" s="2206"/>
      <c r="FCQ7" s="2206"/>
      <c r="FCR7" s="2206"/>
      <c r="FCS7" s="2206"/>
      <c r="FCT7" s="2206"/>
      <c r="FCU7" s="2206"/>
      <c r="FCV7" s="2206"/>
      <c r="FCW7" s="2206"/>
      <c r="FCX7" s="2206"/>
      <c r="FCY7" s="2206"/>
      <c r="FCZ7" s="2206"/>
      <c r="FDA7" s="2206"/>
      <c r="FDB7" s="2206"/>
      <c r="FDC7" s="2206"/>
      <c r="FDD7" s="2206"/>
      <c r="FDE7" s="2206"/>
      <c r="FDF7" s="2206"/>
      <c r="FDG7" s="2206"/>
      <c r="FDH7" s="2206"/>
      <c r="FDI7" s="2206"/>
      <c r="FDJ7" s="2206"/>
      <c r="FDK7" s="2206"/>
      <c r="FDL7" s="2206"/>
      <c r="FDM7" s="2206"/>
      <c r="FDN7" s="2206"/>
      <c r="FDO7" s="2206"/>
      <c r="FDP7" s="2206"/>
      <c r="FDQ7" s="2206"/>
      <c r="FDR7" s="2206"/>
      <c r="FDS7" s="2206"/>
      <c r="FDT7" s="2206"/>
      <c r="FDU7" s="2206"/>
      <c r="FDV7" s="2206"/>
      <c r="FDW7" s="2206"/>
      <c r="FDX7" s="2206"/>
      <c r="FDY7" s="2206"/>
      <c r="FDZ7" s="2206"/>
      <c r="FEA7" s="2206"/>
      <c r="FEB7" s="2206"/>
      <c r="FEC7" s="2206"/>
      <c r="FED7" s="2206"/>
      <c r="FEE7" s="2206"/>
      <c r="FEF7" s="2206"/>
      <c r="FEG7" s="2206"/>
      <c r="FEH7" s="2206"/>
      <c r="FEI7" s="2206"/>
      <c r="FEJ7" s="2206"/>
      <c r="FEK7" s="2206"/>
      <c r="FEL7" s="2206"/>
      <c r="FEM7" s="2206"/>
      <c r="FEN7" s="2206"/>
      <c r="FEO7" s="2206"/>
      <c r="FEP7" s="2206"/>
      <c r="FEQ7" s="2206"/>
      <c r="FER7" s="2206"/>
      <c r="FES7" s="2206"/>
      <c r="FET7" s="2206"/>
      <c r="FEU7" s="2206"/>
      <c r="FEV7" s="2206"/>
      <c r="FEW7" s="2206"/>
      <c r="FEX7" s="2206"/>
      <c r="FEY7" s="2206"/>
      <c r="FEZ7" s="2206"/>
      <c r="FFA7" s="2206"/>
      <c r="FFB7" s="2206"/>
      <c r="FFC7" s="2206"/>
      <c r="FFD7" s="2206"/>
      <c r="FFE7" s="2206"/>
      <c r="FFF7" s="2206"/>
      <c r="FFG7" s="2206"/>
      <c r="FFH7" s="2206"/>
      <c r="FFI7" s="2206"/>
      <c r="FFJ7" s="2206"/>
      <c r="FFK7" s="2206"/>
      <c r="FFL7" s="2206"/>
      <c r="FFM7" s="2206"/>
      <c r="FFN7" s="2206"/>
      <c r="FFO7" s="2206"/>
      <c r="FFP7" s="2206"/>
      <c r="FFQ7" s="2206"/>
      <c r="FFR7" s="2206"/>
      <c r="FFS7" s="2206"/>
      <c r="FFT7" s="2206"/>
      <c r="FFU7" s="2206"/>
      <c r="FFV7" s="2206"/>
      <c r="FFW7" s="2206"/>
      <c r="FFX7" s="2206"/>
      <c r="FFY7" s="2206"/>
      <c r="FFZ7" s="2206"/>
      <c r="FGA7" s="2206"/>
      <c r="FGB7" s="2206"/>
      <c r="FGC7" s="2206"/>
      <c r="FGD7" s="2206"/>
      <c r="FGE7" s="2206"/>
      <c r="FGF7" s="2206"/>
      <c r="FGG7" s="2206"/>
      <c r="FGH7" s="2206"/>
      <c r="FGI7" s="2206"/>
      <c r="FGJ7" s="2206"/>
      <c r="FGK7" s="2206"/>
      <c r="FGL7" s="2206"/>
      <c r="FGM7" s="2206"/>
      <c r="FGN7" s="2206"/>
      <c r="FGO7" s="2206"/>
      <c r="FGP7" s="2206"/>
      <c r="FGQ7" s="2206"/>
      <c r="FGR7" s="2206"/>
      <c r="FGS7" s="2206"/>
      <c r="FGT7" s="2206"/>
      <c r="FGU7" s="2206"/>
      <c r="FGV7" s="2206"/>
      <c r="FGW7" s="2206"/>
      <c r="FGX7" s="2206"/>
      <c r="FGY7" s="2206"/>
      <c r="FGZ7" s="2206"/>
      <c r="FHA7" s="2206"/>
      <c r="FHB7" s="2206"/>
      <c r="FHC7" s="2206"/>
      <c r="FHD7" s="2206"/>
      <c r="FHE7" s="2206"/>
      <c r="FHF7" s="2206"/>
      <c r="FHG7" s="2206"/>
      <c r="FHH7" s="2206"/>
      <c r="FHI7" s="2206"/>
      <c r="FHJ7" s="2206"/>
      <c r="FHK7" s="2206"/>
      <c r="FHL7" s="2206"/>
      <c r="FHM7" s="2206"/>
      <c r="FHN7" s="2206"/>
      <c r="FHO7" s="2206"/>
      <c r="FHP7" s="2206"/>
      <c r="FHQ7" s="2206"/>
      <c r="FHR7" s="2206"/>
      <c r="FHS7" s="2206"/>
      <c r="FHT7" s="2206"/>
      <c r="FHU7" s="2206"/>
      <c r="FHV7" s="2206"/>
      <c r="FHW7" s="2206"/>
      <c r="FHX7" s="2206"/>
      <c r="FHY7" s="2206"/>
      <c r="FHZ7" s="2206"/>
      <c r="FIA7" s="2206"/>
      <c r="FIB7" s="2206"/>
      <c r="FIC7" s="2206"/>
      <c r="FID7" s="2206"/>
      <c r="FIE7" s="2206"/>
      <c r="FIF7" s="2206"/>
      <c r="FIG7" s="2206"/>
      <c r="FIH7" s="2206"/>
      <c r="FII7" s="2206"/>
      <c r="FIJ7" s="2206"/>
      <c r="FIK7" s="2206"/>
      <c r="FIL7" s="2206"/>
      <c r="FIM7" s="2206"/>
      <c r="FIN7" s="2206"/>
      <c r="FIO7" s="2206"/>
      <c r="FIP7" s="2206"/>
      <c r="FIQ7" s="2206"/>
      <c r="FIR7" s="2206"/>
      <c r="FIS7" s="2206"/>
      <c r="FIT7" s="2206"/>
      <c r="FIU7" s="2206"/>
      <c r="FIV7" s="2206"/>
      <c r="FIW7" s="2206"/>
      <c r="FIX7" s="2206"/>
      <c r="FIY7" s="2206"/>
      <c r="FIZ7" s="2206"/>
      <c r="FJA7" s="2206"/>
      <c r="FJB7" s="2206"/>
      <c r="FJC7" s="2206"/>
      <c r="FJD7" s="2206"/>
      <c r="FJE7" s="2206"/>
      <c r="FJF7" s="2206"/>
      <c r="FJG7" s="2206"/>
      <c r="FJH7" s="2206"/>
      <c r="FJI7" s="2206"/>
      <c r="FJJ7" s="2206"/>
      <c r="FJK7" s="2206"/>
      <c r="FJL7" s="2206"/>
      <c r="FJM7" s="2206"/>
      <c r="FJN7" s="2206"/>
      <c r="FJO7" s="2206"/>
      <c r="FJP7" s="2206"/>
      <c r="FJQ7" s="2206"/>
      <c r="FJR7" s="2206"/>
      <c r="FJS7" s="2206"/>
      <c r="FJT7" s="2206"/>
      <c r="FJU7" s="2206"/>
      <c r="FJV7" s="2206"/>
      <c r="FJW7" s="2206"/>
      <c r="FJX7" s="2206"/>
      <c r="FJY7" s="2206"/>
      <c r="FJZ7" s="2206"/>
      <c r="FKA7" s="2206"/>
      <c r="FKB7" s="2206"/>
      <c r="FKC7" s="2206"/>
      <c r="FKD7" s="2206"/>
      <c r="FKE7" s="2206"/>
      <c r="FKF7" s="2206"/>
      <c r="FKG7" s="2206"/>
      <c r="FKH7" s="2206"/>
      <c r="FKI7" s="2206"/>
      <c r="FKJ7" s="2206"/>
      <c r="FKK7" s="2206"/>
      <c r="FKL7" s="2206"/>
      <c r="FKM7" s="2206"/>
      <c r="FKN7" s="2206"/>
      <c r="FKO7" s="2206"/>
      <c r="FKP7" s="2206"/>
      <c r="FKQ7" s="2206"/>
      <c r="FKR7" s="2206"/>
      <c r="FKS7" s="2206"/>
      <c r="FKT7" s="2206"/>
      <c r="FKU7" s="2206"/>
      <c r="FKV7" s="2206"/>
      <c r="FKW7" s="2206"/>
      <c r="FKX7" s="2206"/>
      <c r="FKY7" s="2206"/>
      <c r="FKZ7" s="2206"/>
      <c r="FLA7" s="2206"/>
      <c r="FLB7" s="2206"/>
      <c r="FLC7" s="2206"/>
      <c r="FLD7" s="2206"/>
      <c r="FLE7" s="2206"/>
      <c r="FLF7" s="2206"/>
      <c r="FLG7" s="2206"/>
      <c r="FLH7" s="2206"/>
      <c r="FLI7" s="2206"/>
      <c r="FLJ7" s="2206"/>
      <c r="FLK7" s="2206"/>
      <c r="FLL7" s="2206"/>
      <c r="FLM7" s="2206"/>
      <c r="FLN7" s="2206"/>
      <c r="FLO7" s="2206"/>
      <c r="FLP7" s="2206"/>
      <c r="FLQ7" s="2206"/>
      <c r="FLR7" s="2206"/>
      <c r="FLS7" s="2206"/>
      <c r="FLT7" s="2206"/>
      <c r="FLU7" s="2206"/>
      <c r="FLV7" s="2206"/>
      <c r="FLW7" s="2206"/>
      <c r="FLX7" s="2206"/>
      <c r="FLY7" s="2206"/>
      <c r="FLZ7" s="2206"/>
      <c r="FMA7" s="2206"/>
      <c r="FMB7" s="2206"/>
      <c r="FMC7" s="2206"/>
      <c r="FMD7" s="2206"/>
      <c r="FME7" s="2206"/>
      <c r="FMF7" s="2206"/>
      <c r="FMG7" s="2206"/>
      <c r="FMH7" s="2206"/>
      <c r="FMI7" s="2206"/>
      <c r="FMJ7" s="2206"/>
      <c r="FMK7" s="2206"/>
      <c r="FML7" s="2206"/>
      <c r="FMM7" s="2206"/>
      <c r="FMN7" s="2206"/>
      <c r="FMO7" s="2206"/>
      <c r="FMP7" s="2206"/>
      <c r="FMQ7" s="2206"/>
      <c r="FMR7" s="2206"/>
      <c r="FMS7" s="2206"/>
      <c r="FMT7" s="2206"/>
      <c r="FMU7" s="2206"/>
      <c r="FMV7" s="2206"/>
      <c r="FMW7" s="2206"/>
      <c r="FMX7" s="2206"/>
      <c r="FMY7" s="2206"/>
      <c r="FMZ7" s="2206"/>
      <c r="FNA7" s="2206"/>
      <c r="FNB7" s="2206"/>
      <c r="FNC7" s="2206"/>
      <c r="FND7" s="2206"/>
      <c r="FNE7" s="2206"/>
      <c r="FNF7" s="2206"/>
      <c r="FNG7" s="2206"/>
      <c r="FNH7" s="2206"/>
      <c r="FNI7" s="2206"/>
      <c r="FNJ7" s="2206"/>
      <c r="FNK7" s="2206"/>
      <c r="FNL7" s="2206"/>
      <c r="FNM7" s="2206"/>
      <c r="FNN7" s="2206"/>
      <c r="FNO7" s="2206"/>
      <c r="FNP7" s="2206"/>
      <c r="FNQ7" s="2206"/>
      <c r="FNR7" s="2206"/>
      <c r="FNS7" s="2206"/>
      <c r="FNT7" s="2206"/>
      <c r="FNU7" s="2206"/>
      <c r="FNV7" s="2206"/>
      <c r="FNW7" s="2206"/>
      <c r="FNX7" s="2206"/>
      <c r="FNY7" s="2206"/>
      <c r="FNZ7" s="2206"/>
      <c r="FOA7" s="2206"/>
      <c r="FOB7" s="2206"/>
      <c r="FOC7" s="2206"/>
      <c r="FOD7" s="2206"/>
      <c r="FOE7" s="2206"/>
      <c r="FOF7" s="2206"/>
      <c r="FOG7" s="2206"/>
      <c r="FOH7" s="2206"/>
      <c r="FOI7" s="2206"/>
      <c r="FOJ7" s="2206"/>
      <c r="FOK7" s="2206"/>
      <c r="FOL7" s="2206"/>
      <c r="FOM7" s="2206"/>
      <c r="FON7" s="2206"/>
      <c r="FOO7" s="2206"/>
      <c r="FOP7" s="2206"/>
      <c r="FOQ7" s="2206"/>
      <c r="FOR7" s="2206"/>
      <c r="FOS7" s="2206"/>
      <c r="FOT7" s="2206"/>
      <c r="FOU7" s="2206"/>
      <c r="FOV7" s="2206"/>
      <c r="FOW7" s="2206"/>
      <c r="FOX7" s="2206"/>
      <c r="FOY7" s="2206"/>
      <c r="FOZ7" s="2206"/>
      <c r="FPA7" s="2206"/>
      <c r="FPB7" s="2206"/>
      <c r="FPC7" s="2206"/>
      <c r="FPD7" s="2206"/>
      <c r="FPE7" s="2206"/>
      <c r="FPF7" s="2206"/>
      <c r="FPG7" s="2206"/>
      <c r="FPH7" s="2206"/>
      <c r="FPI7" s="2206"/>
      <c r="FPJ7" s="2206"/>
      <c r="FPK7" s="2206"/>
      <c r="FPL7" s="2206"/>
      <c r="FPM7" s="2206"/>
      <c r="FPN7" s="2206"/>
      <c r="FPO7" s="2206"/>
      <c r="FPP7" s="2206"/>
      <c r="FPQ7" s="2206"/>
      <c r="FPR7" s="2206"/>
      <c r="FPS7" s="2206"/>
      <c r="FPT7" s="2206"/>
      <c r="FPU7" s="2206"/>
      <c r="FPV7" s="2206"/>
      <c r="FPW7" s="2206"/>
      <c r="FPX7" s="2206"/>
      <c r="FPY7" s="2206"/>
      <c r="FPZ7" s="2206"/>
      <c r="FQA7" s="2206"/>
      <c r="FQB7" s="2206"/>
      <c r="FQC7" s="2206"/>
      <c r="FQD7" s="2206"/>
      <c r="FQE7" s="2206"/>
      <c r="FQF7" s="2206"/>
      <c r="FQG7" s="2206"/>
      <c r="FQH7" s="2206"/>
      <c r="FQI7" s="2206"/>
      <c r="FQJ7" s="2206"/>
      <c r="FQK7" s="2206"/>
      <c r="FQL7" s="2206"/>
      <c r="FQM7" s="2206"/>
      <c r="FQN7" s="2206"/>
      <c r="FQO7" s="2206"/>
      <c r="FQP7" s="2206"/>
      <c r="FQQ7" s="2206"/>
      <c r="FQR7" s="2206"/>
      <c r="FQS7" s="2206"/>
      <c r="FQT7" s="2206"/>
      <c r="FQU7" s="2206"/>
      <c r="FQV7" s="2206"/>
      <c r="FQW7" s="2206"/>
      <c r="FQX7" s="2206"/>
      <c r="FQY7" s="2206"/>
      <c r="FQZ7" s="2206"/>
      <c r="FRA7" s="2206"/>
      <c r="FRB7" s="2206"/>
      <c r="FRC7" s="2206"/>
      <c r="FRD7" s="2206"/>
      <c r="FRE7" s="2206"/>
      <c r="FRF7" s="2206"/>
      <c r="FRG7" s="2206"/>
      <c r="FRH7" s="2206"/>
      <c r="FRI7" s="2206"/>
      <c r="FRJ7" s="2206"/>
      <c r="FRK7" s="2206"/>
      <c r="FRL7" s="2206"/>
      <c r="FRM7" s="2206"/>
      <c r="FRN7" s="2206"/>
      <c r="FRO7" s="2206"/>
      <c r="FRP7" s="2206"/>
      <c r="FRQ7" s="2206"/>
      <c r="FRR7" s="2206"/>
      <c r="FRS7" s="2206"/>
      <c r="FRT7" s="2206"/>
      <c r="FRU7" s="2206"/>
      <c r="FRV7" s="2206"/>
      <c r="FRW7" s="2206"/>
      <c r="FRX7" s="2206"/>
      <c r="FRY7" s="2206"/>
      <c r="FRZ7" s="2206"/>
      <c r="FSA7" s="2206"/>
      <c r="FSB7" s="2206"/>
      <c r="FSC7" s="2206"/>
      <c r="FSD7" s="2206"/>
      <c r="FSE7" s="2206"/>
      <c r="FSF7" s="2206"/>
      <c r="FSG7" s="2206"/>
      <c r="FSH7" s="2206"/>
      <c r="FSI7" s="2206"/>
      <c r="FSJ7" s="2206"/>
      <c r="FSK7" s="2206"/>
      <c r="FSL7" s="2206"/>
      <c r="FSM7" s="2206"/>
      <c r="FSN7" s="2206"/>
      <c r="FSO7" s="2206"/>
      <c r="FSP7" s="2206"/>
      <c r="FSQ7" s="2206"/>
      <c r="FSR7" s="2206"/>
      <c r="FSS7" s="2206"/>
      <c r="FST7" s="2206"/>
      <c r="FSU7" s="2206"/>
      <c r="FSV7" s="2206"/>
      <c r="FSW7" s="2206"/>
      <c r="FSX7" s="2206"/>
      <c r="FSY7" s="2206"/>
      <c r="FSZ7" s="2206"/>
      <c r="FTA7" s="2206"/>
      <c r="FTB7" s="2206"/>
      <c r="FTC7" s="2206"/>
      <c r="FTD7" s="2206"/>
      <c r="FTE7" s="2206"/>
      <c r="FTF7" s="2206"/>
      <c r="FTG7" s="2206"/>
      <c r="FTH7" s="2206"/>
      <c r="FTI7" s="2206"/>
      <c r="FTJ7" s="2206"/>
      <c r="FTK7" s="2206"/>
      <c r="FTL7" s="2206"/>
      <c r="FTM7" s="2206"/>
      <c r="FTN7" s="2206"/>
      <c r="FTO7" s="2206"/>
      <c r="FTP7" s="2206"/>
      <c r="FTQ7" s="2206"/>
      <c r="FTR7" s="2206"/>
      <c r="FTS7" s="2206"/>
      <c r="FTT7" s="2206"/>
      <c r="FTU7" s="2206"/>
      <c r="FTV7" s="2206"/>
      <c r="FTW7" s="2206"/>
      <c r="FTX7" s="2206"/>
      <c r="FTY7" s="2206"/>
      <c r="FTZ7" s="2206"/>
      <c r="FUA7" s="2206"/>
      <c r="FUB7" s="2206"/>
      <c r="FUC7" s="2206"/>
      <c r="FUD7" s="2206"/>
      <c r="FUE7" s="2206"/>
      <c r="FUF7" s="2206"/>
      <c r="FUG7" s="2206"/>
      <c r="FUH7" s="2206"/>
      <c r="FUI7" s="2206"/>
      <c r="FUJ7" s="2206"/>
      <c r="FUK7" s="2206"/>
      <c r="FUL7" s="2206"/>
      <c r="FUM7" s="2206"/>
      <c r="FUN7" s="2206"/>
      <c r="FUO7" s="2206"/>
      <c r="FUP7" s="2206"/>
      <c r="FUQ7" s="2206"/>
      <c r="FUR7" s="2206"/>
      <c r="FUS7" s="2206"/>
      <c r="FUT7" s="2206"/>
      <c r="FUU7" s="2206"/>
      <c r="FUV7" s="2206"/>
      <c r="FUW7" s="2206"/>
      <c r="FUX7" s="2206"/>
      <c r="FUY7" s="2206"/>
      <c r="FUZ7" s="2206"/>
      <c r="FVA7" s="2206"/>
      <c r="FVB7" s="2206"/>
      <c r="FVC7" s="2206"/>
      <c r="FVD7" s="2206"/>
      <c r="FVE7" s="2206"/>
      <c r="FVF7" s="2206"/>
      <c r="FVG7" s="2206"/>
      <c r="FVH7" s="2206"/>
      <c r="FVI7" s="2206"/>
      <c r="FVJ7" s="2206"/>
      <c r="FVK7" s="2206"/>
      <c r="FVL7" s="2206"/>
      <c r="FVM7" s="2206"/>
      <c r="FVN7" s="2206"/>
      <c r="FVO7" s="2206"/>
      <c r="FVP7" s="2206"/>
      <c r="FVQ7" s="2206"/>
      <c r="FVR7" s="2206"/>
      <c r="FVS7" s="2206"/>
      <c r="FVT7" s="2206"/>
      <c r="FVU7" s="2206"/>
      <c r="FVV7" s="2206"/>
      <c r="FVW7" s="2206"/>
      <c r="FVX7" s="2206"/>
      <c r="FVY7" s="2206"/>
      <c r="FVZ7" s="2206"/>
      <c r="FWA7" s="2206"/>
      <c r="FWB7" s="2206"/>
      <c r="FWC7" s="2206"/>
      <c r="FWD7" s="2206"/>
      <c r="FWE7" s="2206"/>
      <c r="FWF7" s="2206"/>
      <c r="FWG7" s="2206"/>
      <c r="FWH7" s="2206"/>
      <c r="FWI7" s="2206"/>
      <c r="FWJ7" s="2206"/>
      <c r="FWK7" s="2206"/>
      <c r="FWL7" s="2206"/>
      <c r="FWM7" s="2206"/>
      <c r="FWN7" s="2206"/>
      <c r="FWO7" s="2206"/>
      <c r="FWP7" s="2206"/>
      <c r="FWQ7" s="2206"/>
      <c r="FWR7" s="2206"/>
      <c r="FWS7" s="2206"/>
      <c r="FWT7" s="2206"/>
      <c r="FWU7" s="2206"/>
      <c r="FWV7" s="2206"/>
      <c r="FWW7" s="2206"/>
      <c r="FWX7" s="2206"/>
      <c r="FWY7" s="2206"/>
      <c r="FWZ7" s="2206"/>
      <c r="FXA7" s="2206"/>
      <c r="FXB7" s="2206"/>
      <c r="FXC7" s="2206"/>
      <c r="FXD7" s="2206"/>
      <c r="FXE7" s="2206"/>
      <c r="FXF7" s="2206"/>
      <c r="FXG7" s="2206"/>
      <c r="FXH7" s="2206"/>
      <c r="FXI7" s="2206"/>
      <c r="FXJ7" s="2206"/>
      <c r="FXK7" s="2206"/>
      <c r="FXL7" s="2206"/>
      <c r="FXM7" s="2206"/>
      <c r="FXN7" s="2206"/>
      <c r="FXO7" s="2206"/>
      <c r="FXP7" s="2206"/>
      <c r="FXQ7" s="2206"/>
      <c r="FXR7" s="2206"/>
      <c r="FXS7" s="2206"/>
      <c r="FXT7" s="2206"/>
      <c r="FXU7" s="2206"/>
      <c r="FXV7" s="2206"/>
      <c r="FXW7" s="2206"/>
      <c r="FXX7" s="2206"/>
      <c r="FXY7" s="2206"/>
      <c r="FXZ7" s="2206"/>
      <c r="FYA7" s="2206"/>
      <c r="FYB7" s="2206"/>
      <c r="FYC7" s="2206"/>
      <c r="FYD7" s="2206"/>
      <c r="FYE7" s="2206"/>
      <c r="FYF7" s="2206"/>
      <c r="FYG7" s="2206"/>
      <c r="FYH7" s="2206"/>
      <c r="FYI7" s="2206"/>
      <c r="FYJ7" s="2206"/>
      <c r="FYK7" s="2206"/>
      <c r="FYL7" s="2206"/>
      <c r="FYM7" s="2206"/>
      <c r="FYN7" s="2206"/>
      <c r="FYO7" s="2206"/>
      <c r="FYP7" s="2206"/>
      <c r="FYQ7" s="2206"/>
      <c r="FYR7" s="2206"/>
      <c r="FYS7" s="2206"/>
      <c r="FYT7" s="2206"/>
      <c r="FYU7" s="2206"/>
      <c r="FYV7" s="2206"/>
      <c r="FYW7" s="2206"/>
      <c r="FYX7" s="2206"/>
      <c r="FYY7" s="2206"/>
      <c r="FYZ7" s="2206"/>
      <c r="FZA7" s="2206"/>
      <c r="FZB7" s="2206"/>
      <c r="FZC7" s="2206"/>
      <c r="FZD7" s="2206"/>
      <c r="FZE7" s="2206"/>
      <c r="FZF7" s="2206"/>
      <c r="FZG7" s="2206"/>
      <c r="FZH7" s="2206"/>
      <c r="FZI7" s="2206"/>
      <c r="FZJ7" s="2206"/>
      <c r="FZK7" s="2206"/>
      <c r="FZL7" s="2206"/>
      <c r="FZM7" s="2206"/>
      <c r="FZN7" s="2206"/>
      <c r="FZO7" s="2206"/>
      <c r="FZP7" s="2206"/>
      <c r="FZQ7" s="2206"/>
      <c r="FZR7" s="2206"/>
      <c r="FZS7" s="2206"/>
      <c r="FZT7" s="2206"/>
      <c r="FZU7" s="2206"/>
      <c r="FZV7" s="2206"/>
      <c r="FZW7" s="2206"/>
      <c r="FZX7" s="2206"/>
      <c r="FZY7" s="2206"/>
      <c r="FZZ7" s="2206"/>
      <c r="GAA7" s="2206"/>
      <c r="GAB7" s="2206"/>
      <c r="GAC7" s="2206"/>
      <c r="GAD7" s="2206"/>
      <c r="GAE7" s="2206"/>
      <c r="GAF7" s="2206"/>
      <c r="GAG7" s="2206"/>
      <c r="GAH7" s="2206"/>
      <c r="GAI7" s="2206"/>
      <c r="GAJ7" s="2206"/>
      <c r="GAK7" s="2206"/>
      <c r="GAL7" s="2206"/>
      <c r="GAM7" s="2206"/>
      <c r="GAN7" s="2206"/>
      <c r="GAO7" s="2206"/>
      <c r="GAP7" s="2206"/>
      <c r="GAQ7" s="2206"/>
      <c r="GAR7" s="2206"/>
      <c r="GAS7" s="2206"/>
      <c r="GAT7" s="2206"/>
      <c r="GAU7" s="2206"/>
      <c r="GAV7" s="2206"/>
      <c r="GAW7" s="2206"/>
      <c r="GAX7" s="2206"/>
      <c r="GAY7" s="2206"/>
      <c r="GAZ7" s="2206"/>
      <c r="GBA7" s="2206"/>
      <c r="GBB7" s="2206"/>
      <c r="GBC7" s="2206"/>
      <c r="GBD7" s="2206"/>
      <c r="GBE7" s="2206"/>
      <c r="GBF7" s="2206"/>
      <c r="GBG7" s="2206"/>
      <c r="GBH7" s="2206"/>
      <c r="GBI7" s="2206"/>
      <c r="GBJ7" s="2206"/>
      <c r="GBK7" s="2206"/>
      <c r="GBL7" s="2206"/>
      <c r="GBM7" s="2206"/>
      <c r="GBN7" s="2206"/>
      <c r="GBO7" s="2206"/>
      <c r="GBP7" s="2206"/>
      <c r="GBQ7" s="2206"/>
      <c r="GBR7" s="2206"/>
      <c r="GBS7" s="2206"/>
      <c r="GBT7" s="2206"/>
      <c r="GBU7" s="2206"/>
      <c r="GBV7" s="2206"/>
      <c r="GBW7" s="2206"/>
      <c r="GBX7" s="2206"/>
      <c r="GBY7" s="2206"/>
      <c r="GBZ7" s="2206"/>
      <c r="GCA7" s="2206"/>
      <c r="GCB7" s="2206"/>
      <c r="GCC7" s="2206"/>
      <c r="GCD7" s="2206"/>
      <c r="GCE7" s="2206"/>
      <c r="GCF7" s="2206"/>
      <c r="GCG7" s="2206"/>
      <c r="GCH7" s="2206"/>
      <c r="GCI7" s="2206"/>
      <c r="GCJ7" s="2206"/>
      <c r="GCK7" s="2206"/>
      <c r="GCL7" s="2206"/>
      <c r="GCM7" s="2206"/>
      <c r="GCN7" s="2206"/>
      <c r="GCO7" s="2206"/>
      <c r="GCP7" s="2206"/>
      <c r="GCQ7" s="2206"/>
      <c r="GCR7" s="2206"/>
      <c r="GCS7" s="2206"/>
      <c r="GCT7" s="2206"/>
      <c r="GCU7" s="2206"/>
      <c r="GCV7" s="2206"/>
      <c r="GCW7" s="2206"/>
      <c r="GCX7" s="2206"/>
      <c r="GCY7" s="2206"/>
      <c r="GCZ7" s="2206"/>
      <c r="GDA7" s="2206"/>
      <c r="GDB7" s="2206"/>
      <c r="GDC7" s="2206"/>
      <c r="GDD7" s="2206"/>
      <c r="GDE7" s="2206"/>
      <c r="GDF7" s="2206"/>
      <c r="GDG7" s="2206"/>
      <c r="GDH7" s="2206"/>
      <c r="GDI7" s="2206"/>
      <c r="GDJ7" s="2206"/>
      <c r="GDK7" s="2206"/>
      <c r="GDL7" s="2206"/>
      <c r="GDM7" s="2206"/>
      <c r="GDN7" s="2206"/>
      <c r="GDO7" s="2206"/>
      <c r="GDP7" s="2206"/>
      <c r="GDQ7" s="2206"/>
      <c r="GDR7" s="2206"/>
      <c r="GDS7" s="2206"/>
      <c r="GDT7" s="2206"/>
      <c r="GDU7" s="2206"/>
      <c r="GDV7" s="2206"/>
      <c r="GDW7" s="2206"/>
      <c r="GDX7" s="2206"/>
      <c r="GDY7" s="2206"/>
      <c r="GDZ7" s="2206"/>
      <c r="GEA7" s="2206"/>
      <c r="GEB7" s="2206"/>
      <c r="GEC7" s="2206"/>
      <c r="GED7" s="2206"/>
      <c r="GEE7" s="2206"/>
      <c r="GEF7" s="2206"/>
      <c r="GEG7" s="2206"/>
      <c r="GEH7" s="2206"/>
      <c r="GEI7" s="2206"/>
      <c r="GEJ7" s="2206"/>
      <c r="GEK7" s="2206"/>
      <c r="GEL7" s="2206"/>
      <c r="GEM7" s="2206"/>
      <c r="GEN7" s="2206"/>
      <c r="GEO7" s="2206"/>
      <c r="GEP7" s="2206"/>
      <c r="GEQ7" s="2206"/>
      <c r="GER7" s="2206"/>
      <c r="GES7" s="2206"/>
      <c r="GET7" s="2206"/>
      <c r="GEU7" s="2206"/>
      <c r="GEV7" s="2206"/>
      <c r="GEW7" s="2206"/>
      <c r="GEX7" s="2206"/>
      <c r="GEY7" s="2206"/>
      <c r="GEZ7" s="2206"/>
      <c r="GFA7" s="2206"/>
      <c r="GFB7" s="2206"/>
      <c r="GFC7" s="2206"/>
      <c r="GFD7" s="2206"/>
      <c r="GFE7" s="2206"/>
      <c r="GFF7" s="2206"/>
      <c r="GFG7" s="2206"/>
      <c r="GFH7" s="2206"/>
      <c r="GFI7" s="2206"/>
      <c r="GFJ7" s="2206"/>
      <c r="GFK7" s="2206"/>
      <c r="GFL7" s="2206"/>
      <c r="GFM7" s="2206"/>
      <c r="GFN7" s="2206"/>
      <c r="GFO7" s="2206"/>
      <c r="GFP7" s="2206"/>
      <c r="GFQ7" s="2206"/>
      <c r="GFR7" s="2206"/>
      <c r="GFS7" s="2206"/>
      <c r="GFT7" s="2206"/>
      <c r="GFU7" s="2206"/>
      <c r="GFV7" s="2206"/>
      <c r="GFW7" s="2206"/>
      <c r="GFX7" s="2206"/>
      <c r="GFY7" s="2206"/>
      <c r="GFZ7" s="2206"/>
      <c r="GGA7" s="2206"/>
      <c r="GGB7" s="2206"/>
      <c r="GGC7" s="2206"/>
      <c r="GGD7" s="2206"/>
      <c r="GGE7" s="2206"/>
      <c r="GGF7" s="2206"/>
      <c r="GGG7" s="2206"/>
      <c r="GGH7" s="2206"/>
      <c r="GGI7" s="2206"/>
      <c r="GGJ7" s="2206"/>
      <c r="GGK7" s="2206"/>
      <c r="GGL7" s="2206"/>
      <c r="GGM7" s="2206"/>
      <c r="GGN7" s="2206"/>
      <c r="GGO7" s="2206"/>
      <c r="GGP7" s="2206"/>
      <c r="GGQ7" s="2206"/>
      <c r="GGR7" s="2206"/>
      <c r="GGS7" s="2206"/>
      <c r="GGT7" s="2206"/>
      <c r="GGU7" s="2206"/>
      <c r="GGV7" s="2206"/>
      <c r="GGW7" s="2206"/>
      <c r="GGX7" s="2206"/>
      <c r="GGY7" s="2206"/>
      <c r="GGZ7" s="2206"/>
      <c r="GHA7" s="2206"/>
      <c r="GHB7" s="2206"/>
      <c r="GHC7" s="2206"/>
      <c r="GHD7" s="2206"/>
      <c r="GHE7" s="2206"/>
      <c r="GHF7" s="2206"/>
      <c r="GHG7" s="2206"/>
      <c r="GHH7" s="2206"/>
      <c r="GHI7" s="2206"/>
      <c r="GHJ7" s="2206"/>
      <c r="GHK7" s="2206"/>
      <c r="GHL7" s="2206"/>
      <c r="GHM7" s="2206"/>
      <c r="GHN7" s="2206"/>
      <c r="GHO7" s="2206"/>
      <c r="GHP7" s="2206"/>
      <c r="GHQ7" s="2206"/>
      <c r="GHR7" s="2206"/>
      <c r="GHS7" s="2206"/>
      <c r="GHT7" s="2206"/>
      <c r="GHU7" s="2206"/>
      <c r="GHV7" s="2206"/>
      <c r="GHW7" s="2206"/>
      <c r="GHX7" s="2206"/>
      <c r="GHY7" s="2206"/>
      <c r="GHZ7" s="2206"/>
      <c r="GIA7" s="2206"/>
      <c r="GIB7" s="2206"/>
      <c r="GIC7" s="2206"/>
      <c r="GID7" s="2206"/>
      <c r="GIE7" s="2206"/>
      <c r="GIF7" s="2206"/>
      <c r="GIG7" s="2206"/>
      <c r="GIH7" s="2206"/>
      <c r="GII7" s="2206"/>
      <c r="GIJ7" s="2206"/>
      <c r="GIK7" s="2206"/>
      <c r="GIL7" s="2206"/>
      <c r="GIM7" s="2206"/>
      <c r="GIN7" s="2206"/>
      <c r="GIO7" s="2206"/>
      <c r="GIP7" s="2206"/>
      <c r="GIQ7" s="2206"/>
      <c r="GIR7" s="2206"/>
      <c r="GIS7" s="2206"/>
      <c r="GIT7" s="2206"/>
      <c r="GIU7" s="2206"/>
      <c r="GIV7" s="2206"/>
      <c r="GIW7" s="2206"/>
      <c r="GIX7" s="2206"/>
      <c r="GIY7" s="2206"/>
      <c r="GIZ7" s="2206"/>
      <c r="GJA7" s="2206"/>
      <c r="GJB7" s="2206"/>
      <c r="GJC7" s="2206"/>
      <c r="GJD7" s="2206"/>
      <c r="GJE7" s="2206"/>
      <c r="GJF7" s="2206"/>
      <c r="GJG7" s="2206"/>
      <c r="GJH7" s="2206"/>
      <c r="GJI7" s="2206"/>
      <c r="GJJ7" s="2206"/>
      <c r="GJK7" s="2206"/>
      <c r="GJL7" s="2206"/>
      <c r="GJM7" s="2206"/>
      <c r="GJN7" s="2206"/>
      <c r="GJO7" s="2206"/>
      <c r="GJP7" s="2206"/>
      <c r="GJQ7" s="2206"/>
      <c r="GJR7" s="2206"/>
      <c r="GJS7" s="2206"/>
      <c r="GJT7" s="2206"/>
      <c r="GJU7" s="2206"/>
      <c r="GJV7" s="2206"/>
      <c r="GJW7" s="2206"/>
      <c r="GJX7" s="2206"/>
      <c r="GJY7" s="2206"/>
      <c r="GJZ7" s="2206"/>
      <c r="GKA7" s="2206"/>
      <c r="GKB7" s="2206"/>
      <c r="GKC7" s="2206"/>
      <c r="GKD7" s="2206"/>
      <c r="GKE7" s="2206"/>
      <c r="GKF7" s="2206"/>
      <c r="GKG7" s="2206"/>
      <c r="GKH7" s="2206"/>
      <c r="GKI7" s="2206"/>
      <c r="GKJ7" s="2206"/>
      <c r="GKK7" s="2206"/>
      <c r="GKL7" s="2206"/>
      <c r="GKM7" s="2206"/>
      <c r="GKN7" s="2206"/>
      <c r="GKO7" s="2206"/>
      <c r="GKP7" s="2206"/>
      <c r="GKQ7" s="2206"/>
      <c r="GKR7" s="2206"/>
      <c r="GKS7" s="2206"/>
      <c r="GKT7" s="2206"/>
      <c r="GKU7" s="2206"/>
      <c r="GKV7" s="2206"/>
      <c r="GKW7" s="2206"/>
      <c r="GKX7" s="2206"/>
      <c r="GKY7" s="2206"/>
      <c r="GKZ7" s="2206"/>
      <c r="GLA7" s="2206"/>
      <c r="GLB7" s="2206"/>
      <c r="GLC7" s="2206"/>
      <c r="GLD7" s="2206"/>
      <c r="GLE7" s="2206"/>
      <c r="GLF7" s="2206"/>
      <c r="GLG7" s="2206"/>
      <c r="GLH7" s="2206"/>
      <c r="GLI7" s="2206"/>
      <c r="GLJ7" s="2206"/>
      <c r="GLK7" s="2206"/>
      <c r="GLL7" s="2206"/>
      <c r="GLM7" s="2206"/>
      <c r="GLN7" s="2206"/>
      <c r="GLO7" s="2206"/>
      <c r="GLP7" s="2206"/>
      <c r="GLQ7" s="2206"/>
      <c r="GLR7" s="2206"/>
      <c r="GLS7" s="2206"/>
      <c r="GLT7" s="2206"/>
      <c r="GLU7" s="2206"/>
      <c r="GLV7" s="2206"/>
      <c r="GLW7" s="2206"/>
      <c r="GLX7" s="2206"/>
      <c r="GLY7" s="2206"/>
      <c r="GLZ7" s="2206"/>
      <c r="GMA7" s="2206"/>
      <c r="GMB7" s="2206"/>
      <c r="GMC7" s="2206"/>
      <c r="GMD7" s="2206"/>
      <c r="GME7" s="2206"/>
      <c r="GMF7" s="2206"/>
      <c r="GMG7" s="2206"/>
      <c r="GMH7" s="2206"/>
      <c r="GMI7" s="2206"/>
      <c r="GMJ7" s="2206"/>
      <c r="GMK7" s="2206"/>
      <c r="GML7" s="2206"/>
      <c r="GMM7" s="2206"/>
      <c r="GMN7" s="2206"/>
      <c r="GMO7" s="2206"/>
      <c r="GMP7" s="2206"/>
      <c r="GMQ7" s="2206"/>
      <c r="GMR7" s="2206"/>
      <c r="GMS7" s="2206"/>
      <c r="GMT7" s="2206"/>
      <c r="GMU7" s="2206"/>
      <c r="GMV7" s="2206"/>
      <c r="GMW7" s="2206"/>
      <c r="GMX7" s="2206"/>
      <c r="GMY7" s="2206"/>
      <c r="GMZ7" s="2206"/>
      <c r="GNA7" s="2206"/>
      <c r="GNB7" s="2206"/>
      <c r="GNC7" s="2206"/>
      <c r="GND7" s="2206"/>
      <c r="GNE7" s="2206"/>
      <c r="GNF7" s="2206"/>
      <c r="GNG7" s="2206"/>
      <c r="GNH7" s="2206"/>
      <c r="GNI7" s="2206"/>
      <c r="GNJ7" s="2206"/>
      <c r="GNK7" s="2206"/>
      <c r="GNL7" s="2206"/>
      <c r="GNM7" s="2206"/>
      <c r="GNN7" s="2206"/>
      <c r="GNO7" s="2206"/>
      <c r="GNP7" s="2206"/>
      <c r="GNQ7" s="2206"/>
      <c r="GNR7" s="2206"/>
      <c r="GNS7" s="2206"/>
      <c r="GNT7" s="2206"/>
      <c r="GNU7" s="2206"/>
      <c r="GNV7" s="2206"/>
      <c r="GNW7" s="2206"/>
      <c r="GNX7" s="2206"/>
      <c r="GNY7" s="2206"/>
      <c r="GNZ7" s="2206"/>
      <c r="GOA7" s="2206"/>
      <c r="GOB7" s="2206"/>
      <c r="GOC7" s="2206"/>
      <c r="GOD7" s="2206"/>
      <c r="GOE7" s="2206"/>
      <c r="GOF7" s="2206"/>
      <c r="GOG7" s="2206"/>
      <c r="GOH7" s="2206"/>
      <c r="GOI7" s="2206"/>
      <c r="GOJ7" s="2206"/>
      <c r="GOK7" s="2206"/>
      <c r="GOL7" s="2206"/>
      <c r="GOM7" s="2206"/>
      <c r="GON7" s="2206"/>
      <c r="GOO7" s="2206"/>
      <c r="GOP7" s="2206"/>
      <c r="GOQ7" s="2206"/>
      <c r="GOR7" s="2206"/>
      <c r="GOS7" s="2206"/>
      <c r="GOT7" s="2206"/>
      <c r="GOU7" s="2206"/>
      <c r="GOV7" s="2206"/>
      <c r="GOW7" s="2206"/>
      <c r="GOX7" s="2206"/>
      <c r="GOY7" s="2206"/>
      <c r="GOZ7" s="2206"/>
      <c r="GPA7" s="2206"/>
      <c r="GPB7" s="2206"/>
      <c r="GPC7" s="2206"/>
      <c r="GPD7" s="2206"/>
      <c r="GPE7" s="2206"/>
      <c r="GPF7" s="2206"/>
      <c r="GPG7" s="2206"/>
      <c r="GPH7" s="2206"/>
      <c r="GPI7" s="2206"/>
      <c r="GPJ7" s="2206"/>
      <c r="GPK7" s="2206"/>
      <c r="GPL7" s="2206"/>
      <c r="GPM7" s="2206"/>
      <c r="GPN7" s="2206"/>
      <c r="GPO7" s="2206"/>
      <c r="GPP7" s="2206"/>
      <c r="GPQ7" s="2206"/>
      <c r="GPR7" s="2206"/>
      <c r="GPS7" s="2206"/>
      <c r="GPT7" s="2206"/>
      <c r="GPU7" s="2206"/>
      <c r="GPV7" s="2206"/>
      <c r="GPW7" s="2206"/>
      <c r="GPX7" s="2206"/>
      <c r="GPY7" s="2206"/>
      <c r="GPZ7" s="2206"/>
      <c r="GQA7" s="2206"/>
      <c r="GQB7" s="2206"/>
      <c r="GQC7" s="2206"/>
      <c r="GQD7" s="2206"/>
      <c r="GQE7" s="2206"/>
      <c r="GQF7" s="2206"/>
      <c r="GQG7" s="2206"/>
      <c r="GQH7" s="2206"/>
      <c r="GQI7" s="2206"/>
      <c r="GQJ7" s="2206"/>
      <c r="GQK7" s="2206"/>
      <c r="GQL7" s="2206"/>
      <c r="GQM7" s="2206"/>
      <c r="GQN7" s="2206"/>
      <c r="GQO7" s="2206"/>
      <c r="GQP7" s="2206"/>
      <c r="GQQ7" s="2206"/>
      <c r="GQR7" s="2206"/>
      <c r="GQS7" s="2206"/>
      <c r="GQT7" s="2206"/>
      <c r="GQU7" s="2206"/>
      <c r="GQV7" s="2206"/>
      <c r="GQW7" s="2206"/>
      <c r="GQX7" s="2206"/>
      <c r="GQY7" s="2206"/>
      <c r="GQZ7" s="2206"/>
      <c r="GRA7" s="2206"/>
      <c r="GRB7" s="2206"/>
      <c r="GRC7" s="2206"/>
      <c r="GRD7" s="2206"/>
      <c r="GRE7" s="2206"/>
      <c r="GRF7" s="2206"/>
      <c r="GRG7" s="2206"/>
      <c r="GRH7" s="2206"/>
      <c r="GRI7" s="2206"/>
      <c r="GRJ7" s="2206"/>
      <c r="GRK7" s="2206"/>
      <c r="GRL7" s="2206"/>
      <c r="GRM7" s="2206"/>
      <c r="GRN7" s="2206"/>
      <c r="GRO7" s="2206"/>
      <c r="GRP7" s="2206"/>
      <c r="GRQ7" s="2206"/>
      <c r="GRR7" s="2206"/>
      <c r="GRS7" s="2206"/>
      <c r="GRT7" s="2206"/>
      <c r="GRU7" s="2206"/>
      <c r="GRV7" s="2206"/>
      <c r="GRW7" s="2206"/>
      <c r="GRX7" s="2206"/>
      <c r="GRY7" s="2206"/>
      <c r="GRZ7" s="2206"/>
      <c r="GSA7" s="2206"/>
      <c r="GSB7" s="2206"/>
      <c r="GSC7" s="2206"/>
      <c r="GSD7" s="2206"/>
      <c r="GSE7" s="2206"/>
      <c r="GSF7" s="2206"/>
      <c r="GSG7" s="2206"/>
      <c r="GSH7" s="2206"/>
      <c r="GSI7" s="2206"/>
      <c r="GSJ7" s="2206"/>
      <c r="GSK7" s="2206"/>
      <c r="GSL7" s="2206"/>
      <c r="GSM7" s="2206"/>
      <c r="GSN7" s="2206"/>
      <c r="GSO7" s="2206"/>
      <c r="GSP7" s="2206"/>
      <c r="GSQ7" s="2206"/>
      <c r="GSR7" s="2206"/>
      <c r="GSS7" s="2206"/>
      <c r="GST7" s="2206"/>
      <c r="GSU7" s="2206"/>
      <c r="GSV7" s="2206"/>
      <c r="GSW7" s="2206"/>
      <c r="GSX7" s="2206"/>
      <c r="GSY7" s="2206"/>
      <c r="GSZ7" s="2206"/>
      <c r="GTA7" s="2206"/>
      <c r="GTB7" s="2206"/>
      <c r="GTC7" s="2206"/>
      <c r="GTD7" s="2206"/>
      <c r="GTE7" s="2206"/>
      <c r="GTF7" s="2206"/>
      <c r="GTG7" s="2206"/>
      <c r="GTH7" s="2206"/>
      <c r="GTI7" s="2206"/>
      <c r="GTJ7" s="2206"/>
      <c r="GTK7" s="2206"/>
      <c r="GTL7" s="2206"/>
      <c r="GTM7" s="2206"/>
      <c r="GTN7" s="2206"/>
      <c r="GTO7" s="2206"/>
      <c r="GTP7" s="2206"/>
      <c r="GTQ7" s="2206"/>
      <c r="GTR7" s="2206"/>
      <c r="GTS7" s="2206"/>
      <c r="GTT7" s="2206"/>
      <c r="GTU7" s="2206"/>
      <c r="GTV7" s="2206"/>
      <c r="GTW7" s="2206"/>
      <c r="GTX7" s="2206"/>
      <c r="GTY7" s="2206"/>
      <c r="GTZ7" s="2206"/>
      <c r="GUA7" s="2206"/>
      <c r="GUB7" s="2206"/>
      <c r="GUC7" s="2206"/>
      <c r="GUD7" s="2206"/>
      <c r="GUE7" s="2206"/>
      <c r="GUF7" s="2206"/>
      <c r="GUG7" s="2206"/>
      <c r="GUH7" s="2206"/>
      <c r="GUI7" s="2206"/>
      <c r="GUJ7" s="2206"/>
      <c r="GUK7" s="2206"/>
      <c r="GUL7" s="2206"/>
      <c r="GUM7" s="2206"/>
      <c r="GUN7" s="2206"/>
      <c r="GUO7" s="2206"/>
      <c r="GUP7" s="2206"/>
      <c r="GUQ7" s="2206"/>
      <c r="GUR7" s="2206"/>
      <c r="GUS7" s="2206"/>
      <c r="GUT7" s="2206"/>
      <c r="GUU7" s="2206"/>
      <c r="GUV7" s="2206"/>
      <c r="GUW7" s="2206"/>
      <c r="GUX7" s="2206"/>
      <c r="GUY7" s="2206"/>
      <c r="GUZ7" s="2206"/>
      <c r="GVA7" s="2206"/>
      <c r="GVB7" s="2206"/>
      <c r="GVC7" s="2206"/>
      <c r="GVD7" s="2206"/>
      <c r="GVE7" s="2206"/>
      <c r="GVF7" s="2206"/>
      <c r="GVG7" s="2206"/>
      <c r="GVH7" s="2206"/>
      <c r="GVI7" s="2206"/>
      <c r="GVJ7" s="2206"/>
      <c r="GVK7" s="2206"/>
      <c r="GVL7" s="2206"/>
      <c r="GVM7" s="2206"/>
      <c r="GVN7" s="2206"/>
      <c r="GVO7" s="2206"/>
      <c r="GVP7" s="2206"/>
      <c r="GVQ7" s="2206"/>
      <c r="GVR7" s="2206"/>
      <c r="GVS7" s="2206"/>
      <c r="GVT7" s="2206"/>
      <c r="GVU7" s="2206"/>
      <c r="GVV7" s="2206"/>
      <c r="GVW7" s="2206"/>
      <c r="GVX7" s="2206"/>
      <c r="GVY7" s="2206"/>
      <c r="GVZ7" s="2206"/>
      <c r="GWA7" s="2206"/>
      <c r="GWB7" s="2206"/>
      <c r="GWC7" s="2206"/>
      <c r="GWD7" s="2206"/>
      <c r="GWE7" s="2206"/>
      <c r="GWF7" s="2206"/>
      <c r="GWG7" s="2206"/>
      <c r="GWH7" s="2206"/>
      <c r="GWI7" s="2206"/>
      <c r="GWJ7" s="2206"/>
      <c r="GWK7" s="2206"/>
      <c r="GWL7" s="2206"/>
      <c r="GWM7" s="2206"/>
      <c r="GWN7" s="2206"/>
      <c r="GWO7" s="2206"/>
      <c r="GWP7" s="2206"/>
      <c r="GWQ7" s="2206"/>
      <c r="GWR7" s="2206"/>
      <c r="GWS7" s="2206"/>
      <c r="GWT7" s="2206"/>
      <c r="GWU7" s="2206"/>
      <c r="GWV7" s="2206"/>
      <c r="GWW7" s="2206"/>
      <c r="GWX7" s="2206"/>
      <c r="GWY7" s="2206"/>
      <c r="GWZ7" s="2206"/>
      <c r="GXA7" s="2206"/>
      <c r="GXB7" s="2206"/>
      <c r="GXC7" s="2206"/>
      <c r="GXD7" s="2206"/>
      <c r="GXE7" s="2206"/>
      <c r="GXF7" s="2206"/>
      <c r="GXG7" s="2206"/>
      <c r="GXH7" s="2206"/>
      <c r="GXI7" s="2206"/>
      <c r="GXJ7" s="2206"/>
      <c r="GXK7" s="2206"/>
      <c r="GXL7" s="2206"/>
      <c r="GXM7" s="2206"/>
      <c r="GXN7" s="2206"/>
      <c r="GXO7" s="2206"/>
      <c r="GXP7" s="2206"/>
      <c r="GXQ7" s="2206"/>
      <c r="GXR7" s="2206"/>
      <c r="GXS7" s="2206"/>
      <c r="GXT7" s="2206"/>
      <c r="GXU7" s="2206"/>
      <c r="GXV7" s="2206"/>
      <c r="GXW7" s="2206"/>
      <c r="GXX7" s="2206"/>
      <c r="GXY7" s="2206"/>
      <c r="GXZ7" s="2206"/>
      <c r="GYA7" s="2206"/>
      <c r="GYB7" s="2206"/>
      <c r="GYC7" s="2206"/>
      <c r="GYD7" s="2206"/>
      <c r="GYE7" s="2206"/>
      <c r="GYF7" s="2206"/>
      <c r="GYG7" s="2206"/>
      <c r="GYH7" s="2206"/>
      <c r="GYI7" s="2206"/>
      <c r="GYJ7" s="2206"/>
      <c r="GYK7" s="2206"/>
      <c r="GYL7" s="2206"/>
      <c r="GYM7" s="2206"/>
      <c r="GYN7" s="2206"/>
      <c r="GYO7" s="2206"/>
      <c r="GYP7" s="2206"/>
      <c r="GYQ7" s="2206"/>
      <c r="GYR7" s="2206"/>
      <c r="GYS7" s="2206"/>
      <c r="GYT7" s="2206"/>
      <c r="GYU7" s="2206"/>
      <c r="GYV7" s="2206"/>
      <c r="GYW7" s="2206"/>
      <c r="GYX7" s="2206"/>
      <c r="GYY7" s="2206"/>
      <c r="GYZ7" s="2206"/>
      <c r="GZA7" s="2206"/>
      <c r="GZB7" s="2206"/>
      <c r="GZC7" s="2206"/>
      <c r="GZD7" s="2206"/>
      <c r="GZE7" s="2206"/>
      <c r="GZF7" s="2206"/>
      <c r="GZG7" s="2206"/>
      <c r="GZH7" s="2206"/>
      <c r="GZI7" s="2206"/>
      <c r="GZJ7" s="2206"/>
      <c r="GZK7" s="2206"/>
      <c r="GZL7" s="2206"/>
      <c r="GZM7" s="2206"/>
      <c r="GZN7" s="2206"/>
      <c r="GZO7" s="2206"/>
      <c r="GZP7" s="2206"/>
      <c r="GZQ7" s="2206"/>
      <c r="GZR7" s="2206"/>
      <c r="GZS7" s="2206"/>
      <c r="GZT7" s="2206"/>
      <c r="GZU7" s="2206"/>
      <c r="GZV7" s="2206"/>
      <c r="GZW7" s="2206"/>
      <c r="GZX7" s="2206"/>
      <c r="GZY7" s="2206"/>
      <c r="GZZ7" s="2206"/>
      <c r="HAA7" s="2206"/>
      <c r="HAB7" s="2206"/>
      <c r="HAC7" s="2206"/>
      <c r="HAD7" s="2206"/>
      <c r="HAE7" s="2206"/>
      <c r="HAF7" s="2206"/>
      <c r="HAG7" s="2206"/>
      <c r="HAH7" s="2206"/>
      <c r="HAI7" s="2206"/>
      <c r="HAJ7" s="2206"/>
      <c r="HAK7" s="2206"/>
      <c r="HAL7" s="2206"/>
      <c r="HAM7" s="2206"/>
      <c r="HAN7" s="2206"/>
      <c r="HAO7" s="2206"/>
      <c r="HAP7" s="2206"/>
      <c r="HAQ7" s="2206"/>
      <c r="HAR7" s="2206"/>
      <c r="HAS7" s="2206"/>
      <c r="HAT7" s="2206"/>
      <c r="HAU7" s="2206"/>
      <c r="HAV7" s="2206"/>
      <c r="HAW7" s="2206"/>
      <c r="HAX7" s="2206"/>
      <c r="HAY7" s="2206"/>
      <c r="HAZ7" s="2206"/>
      <c r="HBA7" s="2206"/>
      <c r="HBB7" s="2206"/>
      <c r="HBC7" s="2206"/>
      <c r="HBD7" s="2206"/>
      <c r="HBE7" s="2206"/>
      <c r="HBF7" s="2206"/>
      <c r="HBG7" s="2206"/>
      <c r="HBH7" s="2206"/>
      <c r="HBI7" s="2206"/>
      <c r="HBJ7" s="2206"/>
      <c r="HBK7" s="2206"/>
      <c r="HBL7" s="2206"/>
      <c r="HBM7" s="2206"/>
      <c r="HBN7" s="2206"/>
      <c r="HBO7" s="2206"/>
      <c r="HBP7" s="2206"/>
      <c r="HBQ7" s="2206"/>
      <c r="HBR7" s="2206"/>
      <c r="HBS7" s="2206"/>
      <c r="HBT7" s="2206"/>
      <c r="HBU7" s="2206"/>
      <c r="HBV7" s="2206"/>
      <c r="HBW7" s="2206"/>
      <c r="HBX7" s="2206"/>
      <c r="HBY7" s="2206"/>
      <c r="HBZ7" s="2206"/>
      <c r="HCA7" s="2206"/>
      <c r="HCB7" s="2206"/>
      <c r="HCC7" s="2206"/>
      <c r="HCD7" s="2206"/>
      <c r="HCE7" s="2206"/>
      <c r="HCF7" s="2206"/>
      <c r="HCG7" s="2206"/>
      <c r="HCH7" s="2206"/>
      <c r="HCI7" s="2206"/>
      <c r="HCJ7" s="2206"/>
      <c r="HCK7" s="2206"/>
      <c r="HCL7" s="2206"/>
      <c r="HCM7" s="2206"/>
      <c r="HCN7" s="2206"/>
      <c r="HCO7" s="2206"/>
      <c r="HCP7" s="2206"/>
      <c r="HCQ7" s="2206"/>
      <c r="HCR7" s="2206"/>
      <c r="HCS7" s="2206"/>
      <c r="HCT7" s="2206"/>
      <c r="HCU7" s="2206"/>
      <c r="HCV7" s="2206"/>
      <c r="HCW7" s="2206"/>
      <c r="HCX7" s="2206"/>
      <c r="HCY7" s="2206"/>
      <c r="HCZ7" s="2206"/>
      <c r="HDA7" s="2206"/>
      <c r="HDB7" s="2206"/>
      <c r="HDC7" s="2206"/>
      <c r="HDD7" s="2206"/>
      <c r="HDE7" s="2206"/>
      <c r="HDF7" s="2206"/>
      <c r="HDG7" s="2206"/>
      <c r="HDH7" s="2206"/>
      <c r="HDI7" s="2206"/>
      <c r="HDJ7" s="2206"/>
      <c r="HDK7" s="2206"/>
      <c r="HDL7" s="2206"/>
      <c r="HDM7" s="2206"/>
      <c r="HDN7" s="2206"/>
      <c r="HDO7" s="2206"/>
      <c r="HDP7" s="2206"/>
      <c r="HDQ7" s="2206"/>
      <c r="HDR7" s="2206"/>
      <c r="HDS7" s="2206"/>
      <c r="HDT7" s="2206"/>
      <c r="HDU7" s="2206"/>
      <c r="HDV7" s="2206"/>
      <c r="HDW7" s="2206"/>
      <c r="HDX7" s="2206"/>
      <c r="HDY7" s="2206"/>
      <c r="HDZ7" s="2206"/>
      <c r="HEA7" s="2206"/>
      <c r="HEB7" s="2206"/>
      <c r="HEC7" s="2206"/>
      <c r="HED7" s="2206"/>
      <c r="HEE7" s="2206"/>
      <c r="HEF7" s="2206"/>
      <c r="HEG7" s="2206"/>
      <c r="HEH7" s="2206"/>
      <c r="HEI7" s="2206"/>
      <c r="HEJ7" s="2206"/>
      <c r="HEK7" s="2206"/>
      <c r="HEL7" s="2206"/>
      <c r="HEM7" s="2206"/>
      <c r="HEN7" s="2206"/>
      <c r="HEO7" s="2206"/>
      <c r="HEP7" s="2206"/>
      <c r="HEQ7" s="2206"/>
      <c r="HER7" s="2206"/>
      <c r="HES7" s="2206"/>
      <c r="HET7" s="2206"/>
      <c r="HEU7" s="2206"/>
      <c r="HEV7" s="2206"/>
      <c r="HEW7" s="2206"/>
      <c r="HEX7" s="2206"/>
      <c r="HEY7" s="2206"/>
      <c r="HEZ7" s="2206"/>
      <c r="HFA7" s="2206"/>
      <c r="HFB7" s="2206"/>
      <c r="HFC7" s="2206"/>
      <c r="HFD7" s="2206"/>
      <c r="HFE7" s="2206"/>
      <c r="HFF7" s="2206"/>
      <c r="HFG7" s="2206"/>
      <c r="HFH7" s="2206"/>
      <c r="HFI7" s="2206"/>
      <c r="HFJ7" s="2206"/>
      <c r="HFK7" s="2206"/>
      <c r="HFL7" s="2206"/>
      <c r="HFM7" s="2206"/>
      <c r="HFN7" s="2206"/>
      <c r="HFO7" s="2206"/>
      <c r="HFP7" s="2206"/>
      <c r="HFQ7" s="2206"/>
      <c r="HFR7" s="2206"/>
      <c r="HFS7" s="2206"/>
      <c r="HFT7" s="2206"/>
      <c r="HFU7" s="2206"/>
      <c r="HFV7" s="2206"/>
      <c r="HFW7" s="2206"/>
      <c r="HFX7" s="2206"/>
      <c r="HFY7" s="2206"/>
      <c r="HFZ7" s="2206"/>
      <c r="HGA7" s="2206"/>
      <c r="HGB7" s="2206"/>
      <c r="HGC7" s="2206"/>
      <c r="HGD7" s="2206"/>
      <c r="HGE7" s="2206"/>
      <c r="HGF7" s="2206"/>
      <c r="HGG7" s="2206"/>
      <c r="HGH7" s="2206"/>
      <c r="HGI7" s="2206"/>
      <c r="HGJ7" s="2206"/>
      <c r="HGK7" s="2206"/>
      <c r="HGL7" s="2206"/>
      <c r="HGM7" s="2206"/>
      <c r="HGN7" s="2206"/>
      <c r="HGO7" s="2206"/>
      <c r="HGP7" s="2206"/>
      <c r="HGQ7" s="2206"/>
      <c r="HGR7" s="2206"/>
      <c r="HGS7" s="2206"/>
      <c r="HGT7" s="2206"/>
      <c r="HGU7" s="2206"/>
      <c r="HGV7" s="2206"/>
      <c r="HGW7" s="2206"/>
      <c r="HGX7" s="2206"/>
      <c r="HGY7" s="2206"/>
      <c r="HGZ7" s="2206"/>
      <c r="HHA7" s="2206"/>
      <c r="HHB7" s="2206"/>
      <c r="HHC7" s="2206"/>
      <c r="HHD7" s="2206"/>
      <c r="HHE7" s="2206"/>
      <c r="HHF7" s="2206"/>
      <c r="HHG7" s="2206"/>
      <c r="HHH7" s="2206"/>
      <c r="HHI7" s="2206"/>
      <c r="HHJ7" s="2206"/>
      <c r="HHK7" s="2206"/>
      <c r="HHL7" s="2206"/>
      <c r="HHM7" s="2206"/>
      <c r="HHN7" s="2206"/>
      <c r="HHO7" s="2206"/>
      <c r="HHP7" s="2206"/>
      <c r="HHQ7" s="2206"/>
      <c r="HHR7" s="2206"/>
      <c r="HHS7" s="2206"/>
      <c r="HHT7" s="2206"/>
      <c r="HHU7" s="2206"/>
      <c r="HHV7" s="2206"/>
      <c r="HHW7" s="2206"/>
      <c r="HHX7" s="2206"/>
      <c r="HHY7" s="2206"/>
      <c r="HHZ7" s="2206"/>
      <c r="HIA7" s="2206"/>
      <c r="HIB7" s="2206"/>
      <c r="HIC7" s="2206"/>
      <c r="HID7" s="2206"/>
      <c r="HIE7" s="2206"/>
      <c r="HIF7" s="2206"/>
      <c r="HIG7" s="2206"/>
      <c r="HIH7" s="2206"/>
      <c r="HII7" s="2206"/>
      <c r="HIJ7" s="2206"/>
      <c r="HIK7" s="2206"/>
      <c r="HIL7" s="2206"/>
      <c r="HIM7" s="2206"/>
      <c r="HIN7" s="2206"/>
      <c r="HIO7" s="2206"/>
      <c r="HIP7" s="2206"/>
      <c r="HIQ7" s="2206"/>
      <c r="HIR7" s="2206"/>
      <c r="HIS7" s="2206"/>
      <c r="HIT7" s="2206"/>
      <c r="HIU7" s="2206"/>
      <c r="HIV7" s="2206"/>
      <c r="HIW7" s="2206"/>
      <c r="HIX7" s="2206"/>
      <c r="HIY7" s="2206"/>
      <c r="HIZ7" s="2206"/>
      <c r="HJA7" s="2206"/>
      <c r="HJB7" s="2206"/>
      <c r="HJC7" s="2206"/>
      <c r="HJD7" s="2206"/>
      <c r="HJE7" s="2206"/>
      <c r="HJF7" s="2206"/>
      <c r="HJG7" s="2206"/>
      <c r="HJH7" s="2206"/>
      <c r="HJI7" s="2206"/>
      <c r="HJJ7" s="2206"/>
      <c r="HJK7" s="2206"/>
      <c r="HJL7" s="2206"/>
      <c r="HJM7" s="2206"/>
      <c r="HJN7" s="2206"/>
      <c r="HJO7" s="2206"/>
      <c r="HJP7" s="2206"/>
      <c r="HJQ7" s="2206"/>
      <c r="HJR7" s="2206"/>
      <c r="HJS7" s="2206"/>
      <c r="HJT7" s="2206"/>
      <c r="HJU7" s="2206"/>
      <c r="HJV7" s="2206"/>
      <c r="HJW7" s="2206"/>
      <c r="HJX7" s="2206"/>
      <c r="HJY7" s="2206"/>
      <c r="HJZ7" s="2206"/>
      <c r="HKA7" s="2206"/>
      <c r="HKB7" s="2206"/>
      <c r="HKC7" s="2206"/>
      <c r="HKD7" s="2206"/>
      <c r="HKE7" s="2206"/>
      <c r="HKF7" s="2206"/>
      <c r="HKG7" s="2206"/>
      <c r="HKH7" s="2206"/>
      <c r="HKI7" s="2206"/>
      <c r="HKJ7" s="2206"/>
      <c r="HKK7" s="2206"/>
      <c r="HKL7" s="2206"/>
      <c r="HKM7" s="2206"/>
      <c r="HKN7" s="2206"/>
      <c r="HKO7" s="2206"/>
      <c r="HKP7" s="2206"/>
      <c r="HKQ7" s="2206"/>
      <c r="HKR7" s="2206"/>
      <c r="HKS7" s="2206"/>
      <c r="HKT7" s="2206"/>
      <c r="HKU7" s="2206"/>
      <c r="HKV7" s="2206"/>
      <c r="HKW7" s="2206"/>
      <c r="HKX7" s="2206"/>
      <c r="HKY7" s="2206"/>
      <c r="HKZ7" s="2206"/>
      <c r="HLA7" s="2206"/>
      <c r="HLB7" s="2206"/>
      <c r="HLC7" s="2206"/>
      <c r="HLD7" s="2206"/>
      <c r="HLE7" s="2206"/>
      <c r="HLF7" s="2206"/>
      <c r="HLG7" s="2206"/>
      <c r="HLH7" s="2206"/>
      <c r="HLI7" s="2206"/>
      <c r="HLJ7" s="2206"/>
      <c r="HLK7" s="2206"/>
      <c r="HLL7" s="2206"/>
      <c r="HLM7" s="2206"/>
      <c r="HLN7" s="2206"/>
      <c r="HLO7" s="2206"/>
      <c r="HLP7" s="2206"/>
      <c r="HLQ7" s="2206"/>
      <c r="HLR7" s="2206"/>
      <c r="HLS7" s="2206"/>
      <c r="HLT7" s="2206"/>
      <c r="HLU7" s="2206"/>
      <c r="HLV7" s="2206"/>
      <c r="HLW7" s="2206"/>
      <c r="HLX7" s="2206"/>
      <c r="HLY7" s="2206"/>
      <c r="HLZ7" s="2206"/>
      <c r="HMA7" s="2206"/>
      <c r="HMB7" s="2206"/>
      <c r="HMC7" s="2206"/>
      <c r="HMD7" s="2206"/>
      <c r="HME7" s="2206"/>
      <c r="HMF7" s="2206"/>
      <c r="HMG7" s="2206"/>
      <c r="HMH7" s="2206"/>
      <c r="HMI7" s="2206"/>
      <c r="HMJ7" s="2206"/>
      <c r="HMK7" s="2206"/>
      <c r="HML7" s="2206"/>
      <c r="HMM7" s="2206"/>
      <c r="HMN7" s="2206"/>
      <c r="HMO7" s="2206"/>
      <c r="HMP7" s="2206"/>
      <c r="HMQ7" s="2206"/>
      <c r="HMR7" s="2206"/>
      <c r="HMS7" s="2206"/>
      <c r="HMT7" s="2206"/>
      <c r="HMU7" s="2206"/>
      <c r="HMV7" s="2206"/>
      <c r="HMW7" s="2206"/>
      <c r="HMX7" s="2206"/>
      <c r="HMY7" s="2206"/>
      <c r="HMZ7" s="2206"/>
      <c r="HNA7" s="2206"/>
      <c r="HNB7" s="2206"/>
      <c r="HNC7" s="2206"/>
      <c r="HND7" s="2206"/>
      <c r="HNE7" s="2206"/>
      <c r="HNF7" s="2206"/>
      <c r="HNG7" s="2206"/>
      <c r="HNH7" s="2206"/>
      <c r="HNI7" s="2206"/>
      <c r="HNJ7" s="2206"/>
      <c r="HNK7" s="2206"/>
      <c r="HNL7" s="2206"/>
      <c r="HNM7" s="2206"/>
      <c r="HNN7" s="2206"/>
      <c r="HNO7" s="2206"/>
      <c r="HNP7" s="2206"/>
      <c r="HNQ7" s="2206"/>
      <c r="HNR7" s="2206"/>
      <c r="HNS7" s="2206"/>
      <c r="HNT7" s="2206"/>
      <c r="HNU7" s="2206"/>
      <c r="HNV7" s="2206"/>
      <c r="HNW7" s="2206"/>
      <c r="HNX7" s="2206"/>
      <c r="HNY7" s="2206"/>
      <c r="HNZ7" s="2206"/>
      <c r="HOA7" s="2206"/>
      <c r="HOB7" s="2206"/>
      <c r="HOC7" s="2206"/>
      <c r="HOD7" s="2206"/>
      <c r="HOE7" s="2206"/>
      <c r="HOF7" s="2206"/>
      <c r="HOG7" s="2206"/>
      <c r="HOH7" s="2206"/>
      <c r="HOI7" s="2206"/>
      <c r="HOJ7" s="2206"/>
      <c r="HOK7" s="2206"/>
      <c r="HOL7" s="2206"/>
      <c r="HOM7" s="2206"/>
      <c r="HON7" s="2206"/>
      <c r="HOO7" s="2206"/>
      <c r="HOP7" s="2206"/>
      <c r="HOQ7" s="2206"/>
      <c r="HOR7" s="2206"/>
      <c r="HOS7" s="2206"/>
      <c r="HOT7" s="2206"/>
      <c r="HOU7" s="2206"/>
      <c r="HOV7" s="2206"/>
      <c r="HOW7" s="2206"/>
      <c r="HOX7" s="2206"/>
      <c r="HOY7" s="2206"/>
      <c r="HOZ7" s="2206"/>
      <c r="HPA7" s="2206"/>
      <c r="HPB7" s="2206"/>
      <c r="HPC7" s="2206"/>
      <c r="HPD7" s="2206"/>
      <c r="HPE7" s="2206"/>
      <c r="HPF7" s="2206"/>
      <c r="HPG7" s="2206"/>
      <c r="HPH7" s="2206"/>
      <c r="HPI7" s="2206"/>
      <c r="HPJ7" s="2206"/>
      <c r="HPK7" s="2206"/>
      <c r="HPL7" s="2206"/>
      <c r="HPM7" s="2206"/>
      <c r="HPN7" s="2206"/>
      <c r="HPO7" s="2206"/>
      <c r="HPP7" s="2206"/>
      <c r="HPQ7" s="2206"/>
      <c r="HPR7" s="2206"/>
      <c r="HPS7" s="2206"/>
      <c r="HPT7" s="2206"/>
      <c r="HPU7" s="2206"/>
      <c r="HPV7" s="2206"/>
      <c r="HPW7" s="2206"/>
      <c r="HPX7" s="2206"/>
      <c r="HPY7" s="2206"/>
      <c r="HPZ7" s="2206"/>
      <c r="HQA7" s="2206"/>
      <c r="HQB7" s="2206"/>
      <c r="HQC7" s="2206"/>
      <c r="HQD7" s="2206"/>
      <c r="HQE7" s="2206"/>
      <c r="HQF7" s="2206"/>
      <c r="HQG7" s="2206"/>
      <c r="HQH7" s="2206"/>
      <c r="HQI7" s="2206"/>
      <c r="HQJ7" s="2206"/>
      <c r="HQK7" s="2206"/>
      <c r="HQL7" s="2206"/>
      <c r="HQM7" s="2206"/>
      <c r="HQN7" s="2206"/>
      <c r="HQO7" s="2206"/>
      <c r="HQP7" s="2206"/>
      <c r="HQQ7" s="2206"/>
      <c r="HQR7" s="2206"/>
      <c r="HQS7" s="2206"/>
      <c r="HQT7" s="2206"/>
      <c r="HQU7" s="2206"/>
      <c r="HQV7" s="2206"/>
      <c r="HQW7" s="2206"/>
      <c r="HQX7" s="2206"/>
      <c r="HQY7" s="2206"/>
      <c r="HQZ7" s="2206"/>
      <c r="HRA7" s="2206"/>
      <c r="HRB7" s="2206"/>
      <c r="HRC7" s="2206"/>
      <c r="HRD7" s="2206"/>
      <c r="HRE7" s="2206"/>
      <c r="HRF7" s="2206"/>
      <c r="HRG7" s="2206"/>
      <c r="HRH7" s="2206"/>
      <c r="HRI7" s="2206"/>
      <c r="HRJ7" s="2206"/>
      <c r="HRK7" s="2206"/>
      <c r="HRL7" s="2206"/>
      <c r="HRM7" s="2206"/>
      <c r="HRN7" s="2206"/>
      <c r="HRO7" s="2206"/>
      <c r="HRP7" s="2206"/>
      <c r="HRQ7" s="2206"/>
      <c r="HRR7" s="2206"/>
      <c r="HRS7" s="2206"/>
      <c r="HRT7" s="2206"/>
      <c r="HRU7" s="2206"/>
      <c r="HRV7" s="2206"/>
      <c r="HRW7" s="2206"/>
      <c r="HRX7" s="2206"/>
      <c r="HRY7" s="2206"/>
      <c r="HRZ7" s="2206"/>
      <c r="HSA7" s="2206"/>
      <c r="HSB7" s="2206"/>
      <c r="HSC7" s="2206"/>
      <c r="HSD7" s="2206"/>
      <c r="HSE7" s="2206"/>
      <c r="HSF7" s="2206"/>
      <c r="HSG7" s="2206"/>
      <c r="HSH7" s="2206"/>
      <c r="HSI7" s="2206"/>
      <c r="HSJ7" s="2206"/>
      <c r="HSK7" s="2206"/>
      <c r="HSL7" s="2206"/>
      <c r="HSM7" s="2206"/>
      <c r="HSN7" s="2206"/>
      <c r="HSO7" s="2206"/>
      <c r="HSP7" s="2206"/>
      <c r="HSQ7" s="2206"/>
      <c r="HSR7" s="2206"/>
      <c r="HSS7" s="2206"/>
      <c r="HST7" s="2206"/>
      <c r="HSU7" s="2206"/>
      <c r="HSV7" s="2206"/>
      <c r="HSW7" s="2206"/>
      <c r="HSX7" s="2206"/>
      <c r="HSY7" s="2206"/>
      <c r="HSZ7" s="2206"/>
      <c r="HTA7" s="2206"/>
      <c r="HTB7" s="2206"/>
      <c r="HTC7" s="2206"/>
      <c r="HTD7" s="2206"/>
      <c r="HTE7" s="2206"/>
      <c r="HTF7" s="2206"/>
      <c r="HTG7" s="2206"/>
      <c r="HTH7" s="2206"/>
      <c r="HTI7" s="2206"/>
      <c r="HTJ7" s="2206"/>
      <c r="HTK7" s="2206"/>
      <c r="HTL7" s="2206"/>
      <c r="HTM7" s="2206"/>
      <c r="HTN7" s="2206"/>
      <c r="HTO7" s="2206"/>
      <c r="HTP7" s="2206"/>
      <c r="HTQ7" s="2206"/>
      <c r="HTR7" s="2206"/>
      <c r="HTS7" s="2206"/>
      <c r="HTT7" s="2206"/>
      <c r="HTU7" s="2206"/>
      <c r="HTV7" s="2206"/>
      <c r="HTW7" s="2206"/>
      <c r="HTX7" s="2206"/>
      <c r="HTY7" s="2206"/>
      <c r="HTZ7" s="2206"/>
      <c r="HUA7" s="2206"/>
      <c r="HUB7" s="2206"/>
      <c r="HUC7" s="2206"/>
      <c r="HUD7" s="2206"/>
      <c r="HUE7" s="2206"/>
      <c r="HUF7" s="2206"/>
      <c r="HUG7" s="2206"/>
      <c r="HUH7" s="2206"/>
      <c r="HUI7" s="2206"/>
      <c r="HUJ7" s="2206"/>
      <c r="HUK7" s="2206"/>
      <c r="HUL7" s="2206"/>
      <c r="HUM7" s="2206"/>
      <c r="HUN7" s="2206"/>
      <c r="HUO7" s="2206"/>
      <c r="HUP7" s="2206"/>
      <c r="HUQ7" s="2206"/>
      <c r="HUR7" s="2206"/>
      <c r="HUS7" s="2206"/>
      <c r="HUT7" s="2206"/>
      <c r="HUU7" s="2206"/>
      <c r="HUV7" s="2206"/>
      <c r="HUW7" s="2206"/>
      <c r="HUX7" s="2206"/>
      <c r="HUY7" s="2206"/>
      <c r="HUZ7" s="2206"/>
      <c r="HVA7" s="2206"/>
      <c r="HVB7" s="2206"/>
      <c r="HVC7" s="2206"/>
      <c r="HVD7" s="2206"/>
      <c r="HVE7" s="2206"/>
      <c r="HVF7" s="2206"/>
      <c r="HVG7" s="2206"/>
      <c r="HVH7" s="2206"/>
      <c r="HVI7" s="2206"/>
      <c r="HVJ7" s="2206"/>
      <c r="HVK7" s="2206"/>
      <c r="HVL7" s="2206"/>
      <c r="HVM7" s="2206"/>
      <c r="HVN7" s="2206"/>
      <c r="HVO7" s="2206"/>
      <c r="HVP7" s="2206"/>
      <c r="HVQ7" s="2206"/>
      <c r="HVR7" s="2206"/>
      <c r="HVS7" s="2206"/>
      <c r="HVT7" s="2206"/>
      <c r="HVU7" s="2206"/>
      <c r="HVV7" s="2206"/>
      <c r="HVW7" s="2206"/>
      <c r="HVX7" s="2206"/>
      <c r="HVY7" s="2206"/>
      <c r="HVZ7" s="2206"/>
      <c r="HWA7" s="2206"/>
      <c r="HWB7" s="2206"/>
      <c r="HWC7" s="2206"/>
      <c r="HWD7" s="2206"/>
      <c r="HWE7" s="2206"/>
      <c r="HWF7" s="2206"/>
      <c r="HWG7" s="2206"/>
      <c r="HWH7" s="2206"/>
      <c r="HWI7" s="2206"/>
      <c r="HWJ7" s="2206"/>
      <c r="HWK7" s="2206"/>
      <c r="HWL7" s="2206"/>
      <c r="HWM7" s="2206"/>
      <c r="HWN7" s="2206"/>
      <c r="HWO7" s="2206"/>
      <c r="HWP7" s="2206"/>
      <c r="HWQ7" s="2206"/>
      <c r="HWR7" s="2206"/>
      <c r="HWS7" s="2206"/>
      <c r="HWT7" s="2206"/>
      <c r="HWU7" s="2206"/>
      <c r="HWV7" s="2206"/>
      <c r="HWW7" s="2206"/>
      <c r="HWX7" s="2206"/>
      <c r="HWY7" s="2206"/>
      <c r="HWZ7" s="2206"/>
      <c r="HXA7" s="2206"/>
      <c r="HXB7" s="2206"/>
      <c r="HXC7" s="2206"/>
      <c r="HXD7" s="2206"/>
      <c r="HXE7" s="2206"/>
      <c r="HXF7" s="2206"/>
      <c r="HXG7" s="2206"/>
      <c r="HXH7" s="2206"/>
      <c r="HXI7" s="2206"/>
      <c r="HXJ7" s="2206"/>
      <c r="HXK7" s="2206"/>
      <c r="HXL7" s="2206"/>
      <c r="HXM7" s="2206"/>
      <c r="HXN7" s="2206"/>
      <c r="HXO7" s="2206"/>
      <c r="HXP7" s="2206"/>
      <c r="HXQ7" s="2206"/>
      <c r="HXR7" s="2206"/>
      <c r="HXS7" s="2206"/>
      <c r="HXT7" s="2206"/>
      <c r="HXU7" s="2206"/>
      <c r="HXV7" s="2206"/>
      <c r="HXW7" s="2206"/>
      <c r="HXX7" s="2206"/>
      <c r="HXY7" s="2206"/>
      <c r="HXZ7" s="2206"/>
      <c r="HYA7" s="2206"/>
      <c r="HYB7" s="2206"/>
      <c r="HYC7" s="2206"/>
      <c r="HYD7" s="2206"/>
      <c r="HYE7" s="2206"/>
      <c r="HYF7" s="2206"/>
      <c r="HYG7" s="2206"/>
      <c r="HYH7" s="2206"/>
      <c r="HYI7" s="2206"/>
      <c r="HYJ7" s="2206"/>
      <c r="HYK7" s="2206"/>
      <c r="HYL7" s="2206"/>
      <c r="HYM7" s="2206"/>
      <c r="HYN7" s="2206"/>
      <c r="HYO7" s="2206"/>
      <c r="HYP7" s="2206"/>
      <c r="HYQ7" s="2206"/>
      <c r="HYR7" s="2206"/>
      <c r="HYS7" s="2206"/>
      <c r="HYT7" s="2206"/>
      <c r="HYU7" s="2206"/>
      <c r="HYV7" s="2206"/>
      <c r="HYW7" s="2206"/>
      <c r="HYX7" s="2206"/>
      <c r="HYY7" s="2206"/>
      <c r="HYZ7" s="2206"/>
      <c r="HZA7" s="2206"/>
      <c r="HZB7" s="2206"/>
      <c r="HZC7" s="2206"/>
      <c r="HZD7" s="2206"/>
      <c r="HZE7" s="2206"/>
      <c r="HZF7" s="2206"/>
      <c r="HZG7" s="2206"/>
      <c r="HZH7" s="2206"/>
      <c r="HZI7" s="2206"/>
      <c r="HZJ7" s="2206"/>
      <c r="HZK7" s="2206"/>
      <c r="HZL7" s="2206"/>
      <c r="HZM7" s="2206"/>
      <c r="HZN7" s="2206"/>
      <c r="HZO7" s="2206"/>
      <c r="HZP7" s="2206"/>
      <c r="HZQ7" s="2206"/>
      <c r="HZR7" s="2206"/>
      <c r="HZS7" s="2206"/>
      <c r="HZT7" s="2206"/>
      <c r="HZU7" s="2206"/>
      <c r="HZV7" s="2206"/>
      <c r="HZW7" s="2206"/>
      <c r="HZX7" s="2206"/>
      <c r="HZY7" s="2206"/>
      <c r="HZZ7" s="2206"/>
      <c r="IAA7" s="2206"/>
      <c r="IAB7" s="2206"/>
      <c r="IAC7" s="2206"/>
      <c r="IAD7" s="2206"/>
      <c r="IAE7" s="2206"/>
      <c r="IAF7" s="2206"/>
      <c r="IAG7" s="2206"/>
      <c r="IAH7" s="2206"/>
      <c r="IAI7" s="2206"/>
      <c r="IAJ7" s="2206"/>
      <c r="IAK7" s="2206"/>
      <c r="IAL7" s="2206"/>
      <c r="IAM7" s="2206"/>
      <c r="IAN7" s="2206"/>
      <c r="IAO7" s="2206"/>
      <c r="IAP7" s="2206"/>
      <c r="IAQ7" s="2206"/>
      <c r="IAR7" s="2206"/>
      <c r="IAS7" s="2206"/>
      <c r="IAT7" s="2206"/>
      <c r="IAU7" s="2206"/>
      <c r="IAV7" s="2206"/>
      <c r="IAW7" s="2206"/>
      <c r="IAX7" s="2206"/>
      <c r="IAY7" s="2206"/>
      <c r="IAZ7" s="2206"/>
      <c r="IBA7" s="2206"/>
      <c r="IBB7" s="2206"/>
      <c r="IBC7" s="2206"/>
      <c r="IBD7" s="2206"/>
      <c r="IBE7" s="2206"/>
      <c r="IBF7" s="2206"/>
      <c r="IBG7" s="2206"/>
      <c r="IBH7" s="2206"/>
      <c r="IBI7" s="2206"/>
      <c r="IBJ7" s="2206"/>
      <c r="IBK7" s="2206"/>
      <c r="IBL7" s="2206"/>
      <c r="IBM7" s="2206"/>
      <c r="IBN7" s="2206"/>
      <c r="IBO7" s="2206"/>
      <c r="IBP7" s="2206"/>
      <c r="IBQ7" s="2206"/>
      <c r="IBR7" s="2206"/>
      <c r="IBS7" s="2206"/>
      <c r="IBT7" s="2206"/>
      <c r="IBU7" s="2206"/>
      <c r="IBV7" s="2206"/>
      <c r="IBW7" s="2206"/>
      <c r="IBX7" s="2206"/>
      <c r="IBY7" s="2206"/>
      <c r="IBZ7" s="2206"/>
      <c r="ICA7" s="2206"/>
      <c r="ICB7" s="2206"/>
      <c r="ICC7" s="2206"/>
      <c r="ICD7" s="2206"/>
      <c r="ICE7" s="2206"/>
      <c r="ICF7" s="2206"/>
      <c r="ICG7" s="2206"/>
      <c r="ICH7" s="2206"/>
      <c r="ICI7" s="2206"/>
      <c r="ICJ7" s="2206"/>
      <c r="ICK7" s="2206"/>
      <c r="ICL7" s="2206"/>
      <c r="ICM7" s="2206"/>
      <c r="ICN7" s="2206"/>
      <c r="ICO7" s="2206"/>
      <c r="ICP7" s="2206"/>
      <c r="ICQ7" s="2206"/>
      <c r="ICR7" s="2206"/>
      <c r="ICS7" s="2206"/>
      <c r="ICT7" s="2206"/>
      <c r="ICU7" s="2206"/>
      <c r="ICV7" s="2206"/>
      <c r="ICW7" s="2206"/>
      <c r="ICX7" s="2206"/>
      <c r="ICY7" s="2206"/>
      <c r="ICZ7" s="2206"/>
      <c r="IDA7" s="2206"/>
      <c r="IDB7" s="2206"/>
      <c r="IDC7" s="2206"/>
      <c r="IDD7" s="2206"/>
      <c r="IDE7" s="2206"/>
      <c r="IDF7" s="2206"/>
      <c r="IDG7" s="2206"/>
      <c r="IDH7" s="2206"/>
      <c r="IDI7" s="2206"/>
      <c r="IDJ7" s="2206"/>
      <c r="IDK7" s="2206"/>
      <c r="IDL7" s="2206"/>
      <c r="IDM7" s="2206"/>
      <c r="IDN7" s="2206"/>
      <c r="IDO7" s="2206"/>
      <c r="IDP7" s="2206"/>
      <c r="IDQ7" s="2206"/>
      <c r="IDR7" s="2206"/>
      <c r="IDS7" s="2206"/>
      <c r="IDT7" s="2206"/>
      <c r="IDU7" s="2206"/>
      <c r="IDV7" s="2206"/>
      <c r="IDW7" s="2206"/>
      <c r="IDX7" s="2206"/>
      <c r="IDY7" s="2206"/>
      <c r="IDZ7" s="2206"/>
      <c r="IEA7" s="2206"/>
      <c r="IEB7" s="2206"/>
      <c r="IEC7" s="2206"/>
      <c r="IED7" s="2206"/>
      <c r="IEE7" s="2206"/>
      <c r="IEF7" s="2206"/>
      <c r="IEG7" s="2206"/>
      <c r="IEH7" s="2206"/>
      <c r="IEI7" s="2206"/>
      <c r="IEJ7" s="2206"/>
      <c r="IEK7" s="2206"/>
      <c r="IEL7" s="2206"/>
      <c r="IEM7" s="2206"/>
      <c r="IEN7" s="2206"/>
      <c r="IEO7" s="2206"/>
      <c r="IEP7" s="2206"/>
      <c r="IEQ7" s="2206"/>
      <c r="IER7" s="2206"/>
      <c r="IES7" s="2206"/>
      <c r="IET7" s="2206"/>
      <c r="IEU7" s="2206"/>
      <c r="IEV7" s="2206"/>
      <c r="IEW7" s="2206"/>
      <c r="IEX7" s="2206"/>
      <c r="IEY7" s="2206"/>
      <c r="IEZ7" s="2206"/>
      <c r="IFA7" s="2206"/>
      <c r="IFB7" s="2206"/>
      <c r="IFC7" s="2206"/>
      <c r="IFD7" s="2206"/>
      <c r="IFE7" s="2206"/>
      <c r="IFF7" s="2206"/>
      <c r="IFG7" s="2206"/>
      <c r="IFH7" s="2206"/>
      <c r="IFI7" s="2206"/>
      <c r="IFJ7" s="2206"/>
      <c r="IFK7" s="2206"/>
      <c r="IFL7" s="2206"/>
      <c r="IFM7" s="2206"/>
      <c r="IFN7" s="2206"/>
      <c r="IFO7" s="2206"/>
      <c r="IFP7" s="2206"/>
      <c r="IFQ7" s="2206"/>
      <c r="IFR7" s="2206"/>
      <c r="IFS7" s="2206"/>
      <c r="IFT7" s="2206"/>
      <c r="IFU7" s="2206"/>
      <c r="IFV7" s="2206"/>
      <c r="IFW7" s="2206"/>
      <c r="IFX7" s="2206"/>
      <c r="IFY7" s="2206"/>
      <c r="IFZ7" s="2206"/>
      <c r="IGA7" s="2206"/>
      <c r="IGB7" s="2206"/>
      <c r="IGC7" s="2206"/>
      <c r="IGD7" s="2206"/>
      <c r="IGE7" s="2206"/>
      <c r="IGF7" s="2206"/>
      <c r="IGG7" s="2206"/>
      <c r="IGH7" s="2206"/>
      <c r="IGI7" s="2206"/>
      <c r="IGJ7" s="2206"/>
      <c r="IGK7" s="2206"/>
      <c r="IGL7" s="2206"/>
      <c r="IGM7" s="2206"/>
      <c r="IGN7" s="2206"/>
      <c r="IGO7" s="2206"/>
      <c r="IGP7" s="2206"/>
      <c r="IGQ7" s="2206"/>
      <c r="IGR7" s="2206"/>
      <c r="IGS7" s="2206"/>
      <c r="IGT7" s="2206"/>
      <c r="IGU7" s="2206"/>
      <c r="IGV7" s="2206"/>
      <c r="IGW7" s="2206"/>
      <c r="IGX7" s="2206"/>
      <c r="IGY7" s="2206"/>
      <c r="IGZ7" s="2206"/>
      <c r="IHA7" s="2206"/>
      <c r="IHB7" s="2206"/>
      <c r="IHC7" s="2206"/>
      <c r="IHD7" s="2206"/>
      <c r="IHE7" s="2206"/>
      <c r="IHF7" s="2206"/>
      <c r="IHG7" s="2206"/>
      <c r="IHH7" s="2206"/>
      <c r="IHI7" s="2206"/>
      <c r="IHJ7" s="2206"/>
      <c r="IHK7" s="2206"/>
      <c r="IHL7" s="2206"/>
      <c r="IHM7" s="2206"/>
      <c r="IHN7" s="2206"/>
      <c r="IHO7" s="2206"/>
      <c r="IHP7" s="2206"/>
      <c r="IHQ7" s="2206"/>
      <c r="IHR7" s="2206"/>
      <c r="IHS7" s="2206"/>
      <c r="IHT7" s="2206"/>
      <c r="IHU7" s="2206"/>
      <c r="IHV7" s="2206"/>
      <c r="IHW7" s="2206"/>
      <c r="IHX7" s="2206"/>
      <c r="IHY7" s="2206"/>
      <c r="IHZ7" s="2206"/>
      <c r="IIA7" s="2206"/>
      <c r="IIB7" s="2206"/>
      <c r="IIC7" s="2206"/>
      <c r="IID7" s="2206"/>
      <c r="IIE7" s="2206"/>
      <c r="IIF7" s="2206"/>
      <c r="IIG7" s="2206"/>
      <c r="IIH7" s="2206"/>
      <c r="III7" s="2206"/>
      <c r="IIJ7" s="2206"/>
      <c r="IIK7" s="2206"/>
      <c r="IIL7" s="2206"/>
      <c r="IIM7" s="2206"/>
      <c r="IIN7" s="2206"/>
      <c r="IIO7" s="2206"/>
      <c r="IIP7" s="2206"/>
      <c r="IIQ7" s="2206"/>
      <c r="IIR7" s="2206"/>
      <c r="IIS7" s="2206"/>
      <c r="IIT7" s="2206"/>
      <c r="IIU7" s="2206"/>
      <c r="IIV7" s="2206"/>
      <c r="IIW7" s="2206"/>
      <c r="IIX7" s="2206"/>
      <c r="IIY7" s="2206"/>
      <c r="IIZ7" s="2206"/>
      <c r="IJA7" s="2206"/>
      <c r="IJB7" s="2206"/>
      <c r="IJC7" s="2206"/>
      <c r="IJD7" s="2206"/>
      <c r="IJE7" s="2206"/>
      <c r="IJF7" s="2206"/>
      <c r="IJG7" s="2206"/>
      <c r="IJH7" s="2206"/>
      <c r="IJI7" s="2206"/>
      <c r="IJJ7" s="2206"/>
      <c r="IJK7" s="2206"/>
      <c r="IJL7" s="2206"/>
      <c r="IJM7" s="2206"/>
      <c r="IJN7" s="2206"/>
      <c r="IJO7" s="2206"/>
      <c r="IJP7" s="2206"/>
      <c r="IJQ7" s="2206"/>
      <c r="IJR7" s="2206"/>
      <c r="IJS7" s="2206"/>
      <c r="IJT7" s="2206"/>
      <c r="IJU7" s="2206"/>
      <c r="IJV7" s="2206"/>
      <c r="IJW7" s="2206"/>
      <c r="IJX7" s="2206"/>
      <c r="IJY7" s="2206"/>
      <c r="IJZ7" s="2206"/>
      <c r="IKA7" s="2206"/>
      <c r="IKB7" s="2206"/>
      <c r="IKC7" s="2206"/>
      <c r="IKD7" s="2206"/>
      <c r="IKE7" s="2206"/>
      <c r="IKF7" s="2206"/>
      <c r="IKG7" s="2206"/>
      <c r="IKH7" s="2206"/>
      <c r="IKI7" s="2206"/>
      <c r="IKJ7" s="2206"/>
      <c r="IKK7" s="2206"/>
      <c r="IKL7" s="2206"/>
      <c r="IKM7" s="2206"/>
      <c r="IKN7" s="2206"/>
      <c r="IKO7" s="2206"/>
      <c r="IKP7" s="2206"/>
      <c r="IKQ7" s="2206"/>
      <c r="IKR7" s="2206"/>
      <c r="IKS7" s="2206"/>
      <c r="IKT7" s="2206"/>
      <c r="IKU7" s="2206"/>
      <c r="IKV7" s="2206"/>
      <c r="IKW7" s="2206"/>
      <c r="IKX7" s="2206"/>
      <c r="IKY7" s="2206"/>
      <c r="IKZ7" s="2206"/>
      <c r="ILA7" s="2206"/>
      <c r="ILB7" s="2206"/>
      <c r="ILC7" s="2206"/>
      <c r="ILD7" s="2206"/>
      <c r="ILE7" s="2206"/>
      <c r="ILF7" s="2206"/>
      <c r="ILG7" s="2206"/>
      <c r="ILH7" s="2206"/>
      <c r="ILI7" s="2206"/>
      <c r="ILJ7" s="2206"/>
      <c r="ILK7" s="2206"/>
      <c r="ILL7" s="2206"/>
      <c r="ILM7" s="2206"/>
      <c r="ILN7" s="2206"/>
      <c r="ILO7" s="2206"/>
      <c r="ILP7" s="2206"/>
      <c r="ILQ7" s="2206"/>
      <c r="ILR7" s="2206"/>
      <c r="ILS7" s="2206"/>
      <c r="ILT7" s="2206"/>
      <c r="ILU7" s="2206"/>
      <c r="ILV7" s="2206"/>
      <c r="ILW7" s="2206"/>
      <c r="ILX7" s="2206"/>
      <c r="ILY7" s="2206"/>
      <c r="ILZ7" s="2206"/>
      <c r="IMA7" s="2206"/>
      <c r="IMB7" s="2206"/>
      <c r="IMC7" s="2206"/>
      <c r="IMD7" s="2206"/>
      <c r="IME7" s="2206"/>
      <c r="IMF7" s="2206"/>
      <c r="IMG7" s="2206"/>
      <c r="IMH7" s="2206"/>
      <c r="IMI7" s="2206"/>
      <c r="IMJ7" s="2206"/>
      <c r="IMK7" s="2206"/>
      <c r="IML7" s="2206"/>
      <c r="IMM7" s="2206"/>
      <c r="IMN7" s="2206"/>
      <c r="IMO7" s="2206"/>
      <c r="IMP7" s="2206"/>
      <c r="IMQ7" s="2206"/>
      <c r="IMR7" s="2206"/>
      <c r="IMS7" s="2206"/>
      <c r="IMT7" s="2206"/>
      <c r="IMU7" s="2206"/>
      <c r="IMV7" s="2206"/>
      <c r="IMW7" s="2206"/>
      <c r="IMX7" s="2206"/>
      <c r="IMY7" s="2206"/>
      <c r="IMZ7" s="2206"/>
      <c r="INA7" s="2206"/>
      <c r="INB7" s="2206"/>
      <c r="INC7" s="2206"/>
      <c r="IND7" s="2206"/>
      <c r="INE7" s="2206"/>
      <c r="INF7" s="2206"/>
      <c r="ING7" s="2206"/>
      <c r="INH7" s="2206"/>
      <c r="INI7" s="2206"/>
      <c r="INJ7" s="2206"/>
      <c r="INK7" s="2206"/>
      <c r="INL7" s="2206"/>
      <c r="INM7" s="2206"/>
      <c r="INN7" s="2206"/>
      <c r="INO7" s="2206"/>
      <c r="INP7" s="2206"/>
      <c r="INQ7" s="2206"/>
      <c r="INR7" s="2206"/>
      <c r="INS7" s="2206"/>
      <c r="INT7" s="2206"/>
      <c r="INU7" s="2206"/>
      <c r="INV7" s="2206"/>
      <c r="INW7" s="2206"/>
      <c r="INX7" s="2206"/>
      <c r="INY7" s="2206"/>
      <c r="INZ7" s="2206"/>
      <c r="IOA7" s="2206"/>
      <c r="IOB7" s="2206"/>
      <c r="IOC7" s="2206"/>
      <c r="IOD7" s="2206"/>
      <c r="IOE7" s="2206"/>
      <c r="IOF7" s="2206"/>
      <c r="IOG7" s="2206"/>
      <c r="IOH7" s="2206"/>
      <c r="IOI7" s="2206"/>
      <c r="IOJ7" s="2206"/>
      <c r="IOK7" s="2206"/>
      <c r="IOL7" s="2206"/>
      <c r="IOM7" s="2206"/>
      <c r="ION7" s="2206"/>
      <c r="IOO7" s="2206"/>
      <c r="IOP7" s="2206"/>
      <c r="IOQ7" s="2206"/>
      <c r="IOR7" s="2206"/>
      <c r="IOS7" s="2206"/>
      <c r="IOT7" s="2206"/>
      <c r="IOU7" s="2206"/>
      <c r="IOV7" s="2206"/>
      <c r="IOW7" s="2206"/>
      <c r="IOX7" s="2206"/>
      <c r="IOY7" s="2206"/>
      <c r="IOZ7" s="2206"/>
      <c r="IPA7" s="2206"/>
      <c r="IPB7" s="2206"/>
      <c r="IPC7" s="2206"/>
      <c r="IPD7" s="2206"/>
      <c r="IPE7" s="2206"/>
      <c r="IPF7" s="2206"/>
      <c r="IPG7" s="2206"/>
      <c r="IPH7" s="2206"/>
      <c r="IPI7" s="2206"/>
      <c r="IPJ7" s="2206"/>
      <c r="IPK7" s="2206"/>
      <c r="IPL7" s="2206"/>
      <c r="IPM7" s="2206"/>
      <c r="IPN7" s="2206"/>
      <c r="IPO7" s="2206"/>
      <c r="IPP7" s="2206"/>
      <c r="IPQ7" s="2206"/>
      <c r="IPR7" s="2206"/>
      <c r="IPS7" s="2206"/>
      <c r="IPT7" s="2206"/>
      <c r="IPU7" s="2206"/>
      <c r="IPV7" s="2206"/>
      <c r="IPW7" s="2206"/>
      <c r="IPX7" s="2206"/>
      <c r="IPY7" s="2206"/>
      <c r="IPZ7" s="2206"/>
      <c r="IQA7" s="2206"/>
      <c r="IQB7" s="2206"/>
      <c r="IQC7" s="2206"/>
      <c r="IQD7" s="2206"/>
      <c r="IQE7" s="2206"/>
      <c r="IQF7" s="2206"/>
      <c r="IQG7" s="2206"/>
      <c r="IQH7" s="2206"/>
      <c r="IQI7" s="2206"/>
      <c r="IQJ7" s="2206"/>
      <c r="IQK7" s="2206"/>
      <c r="IQL7" s="2206"/>
      <c r="IQM7" s="2206"/>
      <c r="IQN7" s="2206"/>
      <c r="IQO7" s="2206"/>
      <c r="IQP7" s="2206"/>
      <c r="IQQ7" s="2206"/>
      <c r="IQR7" s="2206"/>
      <c r="IQS7" s="2206"/>
      <c r="IQT7" s="2206"/>
      <c r="IQU7" s="2206"/>
      <c r="IQV7" s="2206"/>
      <c r="IQW7" s="2206"/>
      <c r="IQX7" s="2206"/>
      <c r="IQY7" s="2206"/>
      <c r="IQZ7" s="2206"/>
      <c r="IRA7" s="2206"/>
      <c r="IRB7" s="2206"/>
      <c r="IRC7" s="2206"/>
      <c r="IRD7" s="2206"/>
      <c r="IRE7" s="2206"/>
      <c r="IRF7" s="2206"/>
      <c r="IRG7" s="2206"/>
      <c r="IRH7" s="2206"/>
      <c r="IRI7" s="2206"/>
      <c r="IRJ7" s="2206"/>
      <c r="IRK7" s="2206"/>
      <c r="IRL7" s="2206"/>
      <c r="IRM7" s="2206"/>
      <c r="IRN7" s="2206"/>
      <c r="IRO7" s="2206"/>
      <c r="IRP7" s="2206"/>
      <c r="IRQ7" s="2206"/>
      <c r="IRR7" s="2206"/>
      <c r="IRS7" s="2206"/>
      <c r="IRT7" s="2206"/>
      <c r="IRU7" s="2206"/>
      <c r="IRV7" s="2206"/>
      <c r="IRW7" s="2206"/>
      <c r="IRX7" s="2206"/>
      <c r="IRY7" s="2206"/>
      <c r="IRZ7" s="2206"/>
      <c r="ISA7" s="2206"/>
      <c r="ISB7" s="2206"/>
      <c r="ISC7" s="2206"/>
      <c r="ISD7" s="2206"/>
      <c r="ISE7" s="2206"/>
      <c r="ISF7" s="2206"/>
      <c r="ISG7" s="2206"/>
      <c r="ISH7" s="2206"/>
      <c r="ISI7" s="2206"/>
      <c r="ISJ7" s="2206"/>
      <c r="ISK7" s="2206"/>
      <c r="ISL7" s="2206"/>
      <c r="ISM7" s="2206"/>
      <c r="ISN7" s="2206"/>
      <c r="ISO7" s="2206"/>
      <c r="ISP7" s="2206"/>
      <c r="ISQ7" s="2206"/>
      <c r="ISR7" s="2206"/>
      <c r="ISS7" s="2206"/>
      <c r="IST7" s="2206"/>
      <c r="ISU7" s="2206"/>
      <c r="ISV7" s="2206"/>
      <c r="ISW7" s="2206"/>
      <c r="ISX7" s="2206"/>
      <c r="ISY7" s="2206"/>
      <c r="ISZ7" s="2206"/>
      <c r="ITA7" s="2206"/>
      <c r="ITB7" s="2206"/>
      <c r="ITC7" s="2206"/>
      <c r="ITD7" s="2206"/>
      <c r="ITE7" s="2206"/>
      <c r="ITF7" s="2206"/>
      <c r="ITG7" s="2206"/>
      <c r="ITH7" s="2206"/>
      <c r="ITI7" s="2206"/>
      <c r="ITJ7" s="2206"/>
      <c r="ITK7" s="2206"/>
      <c r="ITL7" s="2206"/>
      <c r="ITM7" s="2206"/>
      <c r="ITN7" s="2206"/>
      <c r="ITO7" s="2206"/>
      <c r="ITP7" s="2206"/>
      <c r="ITQ7" s="2206"/>
      <c r="ITR7" s="2206"/>
      <c r="ITS7" s="2206"/>
      <c r="ITT7" s="2206"/>
      <c r="ITU7" s="2206"/>
      <c r="ITV7" s="2206"/>
      <c r="ITW7" s="2206"/>
      <c r="ITX7" s="2206"/>
      <c r="ITY7" s="2206"/>
      <c r="ITZ7" s="2206"/>
      <c r="IUA7" s="2206"/>
      <c r="IUB7" s="2206"/>
      <c r="IUC7" s="2206"/>
      <c r="IUD7" s="2206"/>
      <c r="IUE7" s="2206"/>
      <c r="IUF7" s="2206"/>
      <c r="IUG7" s="2206"/>
      <c r="IUH7" s="2206"/>
      <c r="IUI7" s="2206"/>
      <c r="IUJ7" s="2206"/>
      <c r="IUK7" s="2206"/>
      <c r="IUL7" s="2206"/>
      <c r="IUM7" s="2206"/>
      <c r="IUN7" s="2206"/>
      <c r="IUO7" s="2206"/>
      <c r="IUP7" s="2206"/>
      <c r="IUQ7" s="2206"/>
      <c r="IUR7" s="2206"/>
      <c r="IUS7" s="2206"/>
      <c r="IUT7" s="2206"/>
      <c r="IUU7" s="2206"/>
      <c r="IUV7" s="2206"/>
      <c r="IUW7" s="2206"/>
      <c r="IUX7" s="2206"/>
      <c r="IUY7" s="2206"/>
      <c r="IUZ7" s="2206"/>
      <c r="IVA7" s="2206"/>
      <c r="IVB7" s="2206"/>
      <c r="IVC7" s="2206"/>
      <c r="IVD7" s="2206"/>
      <c r="IVE7" s="2206"/>
      <c r="IVF7" s="2206"/>
      <c r="IVG7" s="2206"/>
      <c r="IVH7" s="2206"/>
      <c r="IVI7" s="2206"/>
      <c r="IVJ7" s="2206"/>
      <c r="IVK7" s="2206"/>
      <c r="IVL7" s="2206"/>
      <c r="IVM7" s="2206"/>
      <c r="IVN7" s="2206"/>
      <c r="IVO7" s="2206"/>
      <c r="IVP7" s="2206"/>
      <c r="IVQ7" s="2206"/>
      <c r="IVR7" s="2206"/>
      <c r="IVS7" s="2206"/>
      <c r="IVT7" s="2206"/>
      <c r="IVU7" s="2206"/>
      <c r="IVV7" s="2206"/>
      <c r="IVW7" s="2206"/>
      <c r="IVX7" s="2206"/>
      <c r="IVY7" s="2206"/>
      <c r="IVZ7" s="2206"/>
      <c r="IWA7" s="2206"/>
      <c r="IWB7" s="2206"/>
      <c r="IWC7" s="2206"/>
      <c r="IWD7" s="2206"/>
      <c r="IWE7" s="2206"/>
      <c r="IWF7" s="2206"/>
      <c r="IWG7" s="2206"/>
      <c r="IWH7" s="2206"/>
      <c r="IWI7" s="2206"/>
      <c r="IWJ7" s="2206"/>
      <c r="IWK7" s="2206"/>
      <c r="IWL7" s="2206"/>
      <c r="IWM7" s="2206"/>
      <c r="IWN7" s="2206"/>
      <c r="IWO7" s="2206"/>
      <c r="IWP7" s="2206"/>
      <c r="IWQ7" s="2206"/>
      <c r="IWR7" s="2206"/>
      <c r="IWS7" s="2206"/>
      <c r="IWT7" s="2206"/>
      <c r="IWU7" s="2206"/>
      <c r="IWV7" s="2206"/>
      <c r="IWW7" s="2206"/>
      <c r="IWX7" s="2206"/>
      <c r="IWY7" s="2206"/>
      <c r="IWZ7" s="2206"/>
      <c r="IXA7" s="2206"/>
      <c r="IXB7" s="2206"/>
      <c r="IXC7" s="2206"/>
      <c r="IXD7" s="2206"/>
      <c r="IXE7" s="2206"/>
      <c r="IXF7" s="2206"/>
      <c r="IXG7" s="2206"/>
      <c r="IXH7" s="2206"/>
      <c r="IXI7" s="2206"/>
      <c r="IXJ7" s="2206"/>
      <c r="IXK7" s="2206"/>
      <c r="IXL7" s="2206"/>
      <c r="IXM7" s="2206"/>
      <c r="IXN7" s="2206"/>
      <c r="IXO7" s="2206"/>
      <c r="IXP7" s="2206"/>
      <c r="IXQ7" s="2206"/>
      <c r="IXR7" s="2206"/>
      <c r="IXS7" s="2206"/>
      <c r="IXT7" s="2206"/>
      <c r="IXU7" s="2206"/>
      <c r="IXV7" s="2206"/>
      <c r="IXW7" s="2206"/>
      <c r="IXX7" s="2206"/>
      <c r="IXY7" s="2206"/>
      <c r="IXZ7" s="2206"/>
      <c r="IYA7" s="2206"/>
      <c r="IYB7" s="2206"/>
      <c r="IYC7" s="2206"/>
      <c r="IYD7" s="2206"/>
      <c r="IYE7" s="2206"/>
      <c r="IYF7" s="2206"/>
      <c r="IYG7" s="2206"/>
      <c r="IYH7" s="2206"/>
      <c r="IYI7" s="2206"/>
      <c r="IYJ7" s="2206"/>
      <c r="IYK7" s="2206"/>
      <c r="IYL7" s="2206"/>
      <c r="IYM7" s="2206"/>
      <c r="IYN7" s="2206"/>
      <c r="IYO7" s="2206"/>
      <c r="IYP7" s="2206"/>
      <c r="IYQ7" s="2206"/>
      <c r="IYR7" s="2206"/>
      <c r="IYS7" s="2206"/>
      <c r="IYT7" s="2206"/>
      <c r="IYU7" s="2206"/>
      <c r="IYV7" s="2206"/>
      <c r="IYW7" s="2206"/>
      <c r="IYX7" s="2206"/>
      <c r="IYY7" s="2206"/>
      <c r="IYZ7" s="2206"/>
      <c r="IZA7" s="2206"/>
      <c r="IZB7" s="2206"/>
      <c r="IZC7" s="2206"/>
      <c r="IZD7" s="2206"/>
      <c r="IZE7" s="2206"/>
      <c r="IZF7" s="2206"/>
      <c r="IZG7" s="2206"/>
      <c r="IZH7" s="2206"/>
      <c r="IZI7" s="2206"/>
      <c r="IZJ7" s="2206"/>
      <c r="IZK7" s="2206"/>
      <c r="IZL7" s="2206"/>
      <c r="IZM7" s="2206"/>
      <c r="IZN7" s="2206"/>
      <c r="IZO7" s="2206"/>
      <c r="IZP7" s="2206"/>
      <c r="IZQ7" s="2206"/>
      <c r="IZR7" s="2206"/>
      <c r="IZS7" s="2206"/>
      <c r="IZT7" s="2206"/>
      <c r="IZU7" s="2206"/>
      <c r="IZV7" s="2206"/>
      <c r="IZW7" s="2206"/>
      <c r="IZX7" s="2206"/>
      <c r="IZY7" s="2206"/>
      <c r="IZZ7" s="2206"/>
      <c r="JAA7" s="2206"/>
      <c r="JAB7" s="2206"/>
      <c r="JAC7" s="2206"/>
      <c r="JAD7" s="2206"/>
      <c r="JAE7" s="2206"/>
      <c r="JAF7" s="2206"/>
      <c r="JAG7" s="2206"/>
      <c r="JAH7" s="2206"/>
      <c r="JAI7" s="2206"/>
      <c r="JAJ7" s="2206"/>
      <c r="JAK7" s="2206"/>
      <c r="JAL7" s="2206"/>
      <c r="JAM7" s="2206"/>
      <c r="JAN7" s="2206"/>
      <c r="JAO7" s="2206"/>
      <c r="JAP7" s="2206"/>
      <c r="JAQ7" s="2206"/>
      <c r="JAR7" s="2206"/>
      <c r="JAS7" s="2206"/>
      <c r="JAT7" s="2206"/>
      <c r="JAU7" s="2206"/>
      <c r="JAV7" s="2206"/>
      <c r="JAW7" s="2206"/>
      <c r="JAX7" s="2206"/>
      <c r="JAY7" s="2206"/>
      <c r="JAZ7" s="2206"/>
      <c r="JBA7" s="2206"/>
      <c r="JBB7" s="2206"/>
      <c r="JBC7" s="2206"/>
      <c r="JBD7" s="2206"/>
      <c r="JBE7" s="2206"/>
      <c r="JBF7" s="2206"/>
      <c r="JBG7" s="2206"/>
      <c r="JBH7" s="2206"/>
      <c r="JBI7" s="2206"/>
      <c r="JBJ7" s="2206"/>
      <c r="JBK7" s="2206"/>
      <c r="JBL7" s="2206"/>
      <c r="JBM7" s="2206"/>
      <c r="JBN7" s="2206"/>
      <c r="JBO7" s="2206"/>
      <c r="JBP7" s="2206"/>
      <c r="JBQ7" s="2206"/>
      <c r="JBR7" s="2206"/>
      <c r="JBS7" s="2206"/>
      <c r="JBT7" s="2206"/>
      <c r="JBU7" s="2206"/>
      <c r="JBV7" s="2206"/>
      <c r="JBW7" s="2206"/>
      <c r="JBX7" s="2206"/>
      <c r="JBY7" s="2206"/>
      <c r="JBZ7" s="2206"/>
      <c r="JCA7" s="2206"/>
      <c r="JCB7" s="2206"/>
      <c r="JCC7" s="2206"/>
      <c r="JCD7" s="2206"/>
      <c r="JCE7" s="2206"/>
      <c r="JCF7" s="2206"/>
      <c r="JCG7" s="2206"/>
      <c r="JCH7" s="2206"/>
      <c r="JCI7" s="2206"/>
      <c r="JCJ7" s="2206"/>
      <c r="JCK7" s="2206"/>
      <c r="JCL7" s="2206"/>
      <c r="JCM7" s="2206"/>
      <c r="JCN7" s="2206"/>
      <c r="JCO7" s="2206"/>
      <c r="JCP7" s="2206"/>
      <c r="JCQ7" s="2206"/>
      <c r="JCR7" s="2206"/>
      <c r="JCS7" s="2206"/>
      <c r="JCT7" s="2206"/>
      <c r="JCU7" s="2206"/>
      <c r="JCV7" s="2206"/>
      <c r="JCW7" s="2206"/>
      <c r="JCX7" s="2206"/>
      <c r="JCY7" s="2206"/>
      <c r="JCZ7" s="2206"/>
      <c r="JDA7" s="2206"/>
      <c r="JDB7" s="2206"/>
      <c r="JDC7" s="2206"/>
      <c r="JDD7" s="2206"/>
      <c r="JDE7" s="2206"/>
      <c r="JDF7" s="2206"/>
      <c r="JDG7" s="2206"/>
      <c r="JDH7" s="2206"/>
      <c r="JDI7" s="2206"/>
      <c r="JDJ7" s="2206"/>
      <c r="JDK7" s="2206"/>
      <c r="JDL7" s="2206"/>
      <c r="JDM7" s="2206"/>
      <c r="JDN7" s="2206"/>
      <c r="JDO7" s="2206"/>
      <c r="JDP7" s="2206"/>
      <c r="JDQ7" s="2206"/>
      <c r="JDR7" s="2206"/>
      <c r="JDS7" s="2206"/>
      <c r="JDT7" s="2206"/>
      <c r="JDU7" s="2206"/>
      <c r="JDV7" s="2206"/>
      <c r="JDW7" s="2206"/>
      <c r="JDX7" s="2206"/>
      <c r="JDY7" s="2206"/>
      <c r="JDZ7" s="2206"/>
      <c r="JEA7" s="2206"/>
      <c r="JEB7" s="2206"/>
      <c r="JEC7" s="2206"/>
      <c r="JED7" s="2206"/>
      <c r="JEE7" s="2206"/>
      <c r="JEF7" s="2206"/>
      <c r="JEG7" s="2206"/>
      <c r="JEH7" s="2206"/>
      <c r="JEI7" s="2206"/>
      <c r="JEJ7" s="2206"/>
      <c r="JEK7" s="2206"/>
      <c r="JEL7" s="2206"/>
      <c r="JEM7" s="2206"/>
      <c r="JEN7" s="2206"/>
      <c r="JEO7" s="2206"/>
      <c r="JEP7" s="2206"/>
      <c r="JEQ7" s="2206"/>
      <c r="JER7" s="2206"/>
      <c r="JES7" s="2206"/>
      <c r="JET7" s="2206"/>
      <c r="JEU7" s="2206"/>
      <c r="JEV7" s="2206"/>
      <c r="JEW7" s="2206"/>
      <c r="JEX7" s="2206"/>
      <c r="JEY7" s="2206"/>
      <c r="JEZ7" s="2206"/>
      <c r="JFA7" s="2206"/>
      <c r="JFB7" s="2206"/>
      <c r="JFC7" s="2206"/>
      <c r="JFD7" s="2206"/>
      <c r="JFE7" s="2206"/>
      <c r="JFF7" s="2206"/>
      <c r="JFG7" s="2206"/>
      <c r="JFH7" s="2206"/>
      <c r="JFI7" s="2206"/>
      <c r="JFJ7" s="2206"/>
      <c r="JFK7" s="2206"/>
      <c r="JFL7" s="2206"/>
      <c r="JFM7" s="2206"/>
      <c r="JFN7" s="2206"/>
      <c r="JFO7" s="2206"/>
      <c r="JFP7" s="2206"/>
      <c r="JFQ7" s="2206"/>
      <c r="JFR7" s="2206"/>
      <c r="JFS7" s="2206"/>
      <c r="JFT7" s="2206"/>
      <c r="JFU7" s="2206"/>
      <c r="JFV7" s="2206"/>
      <c r="JFW7" s="2206"/>
      <c r="JFX7" s="2206"/>
      <c r="JFY7" s="2206"/>
      <c r="JFZ7" s="2206"/>
      <c r="JGA7" s="2206"/>
      <c r="JGB7" s="2206"/>
      <c r="JGC7" s="2206"/>
      <c r="JGD7" s="2206"/>
      <c r="JGE7" s="2206"/>
      <c r="JGF7" s="2206"/>
      <c r="JGG7" s="2206"/>
      <c r="JGH7" s="2206"/>
      <c r="JGI7" s="2206"/>
      <c r="JGJ7" s="2206"/>
      <c r="JGK7" s="2206"/>
      <c r="JGL7" s="2206"/>
      <c r="JGM7" s="2206"/>
      <c r="JGN7" s="2206"/>
      <c r="JGO7" s="2206"/>
      <c r="JGP7" s="2206"/>
      <c r="JGQ7" s="2206"/>
      <c r="JGR7" s="2206"/>
      <c r="JGS7" s="2206"/>
      <c r="JGT7" s="2206"/>
      <c r="JGU7" s="2206"/>
      <c r="JGV7" s="2206"/>
      <c r="JGW7" s="2206"/>
      <c r="JGX7" s="2206"/>
      <c r="JGY7" s="2206"/>
      <c r="JGZ7" s="2206"/>
      <c r="JHA7" s="2206"/>
      <c r="JHB7" s="2206"/>
      <c r="JHC7" s="2206"/>
      <c r="JHD7" s="2206"/>
      <c r="JHE7" s="2206"/>
      <c r="JHF7" s="2206"/>
      <c r="JHG7" s="2206"/>
      <c r="JHH7" s="2206"/>
      <c r="JHI7" s="2206"/>
      <c r="JHJ7" s="2206"/>
      <c r="JHK7" s="2206"/>
      <c r="JHL7" s="2206"/>
      <c r="JHM7" s="2206"/>
      <c r="JHN7" s="2206"/>
      <c r="JHO7" s="2206"/>
      <c r="JHP7" s="2206"/>
      <c r="JHQ7" s="2206"/>
      <c r="JHR7" s="2206"/>
      <c r="JHS7" s="2206"/>
      <c r="JHT7" s="2206"/>
      <c r="JHU7" s="2206"/>
      <c r="JHV7" s="2206"/>
      <c r="JHW7" s="2206"/>
      <c r="JHX7" s="2206"/>
      <c r="JHY7" s="2206"/>
      <c r="JHZ7" s="2206"/>
      <c r="JIA7" s="2206"/>
      <c r="JIB7" s="2206"/>
      <c r="JIC7" s="2206"/>
      <c r="JID7" s="2206"/>
      <c r="JIE7" s="2206"/>
      <c r="JIF7" s="2206"/>
      <c r="JIG7" s="2206"/>
      <c r="JIH7" s="2206"/>
      <c r="JII7" s="2206"/>
      <c r="JIJ7" s="2206"/>
      <c r="JIK7" s="2206"/>
      <c r="JIL7" s="2206"/>
      <c r="JIM7" s="2206"/>
      <c r="JIN7" s="2206"/>
      <c r="JIO7" s="2206"/>
      <c r="JIP7" s="2206"/>
      <c r="JIQ7" s="2206"/>
      <c r="JIR7" s="2206"/>
      <c r="JIS7" s="2206"/>
      <c r="JIT7" s="2206"/>
      <c r="JIU7" s="2206"/>
      <c r="JIV7" s="2206"/>
      <c r="JIW7" s="2206"/>
      <c r="JIX7" s="2206"/>
      <c r="JIY7" s="2206"/>
      <c r="JIZ7" s="2206"/>
      <c r="JJA7" s="2206"/>
      <c r="JJB7" s="2206"/>
      <c r="JJC7" s="2206"/>
      <c r="JJD7" s="2206"/>
      <c r="JJE7" s="2206"/>
      <c r="JJF7" s="2206"/>
      <c r="JJG7" s="2206"/>
      <c r="JJH7" s="2206"/>
      <c r="JJI7" s="2206"/>
      <c r="JJJ7" s="2206"/>
      <c r="JJK7" s="2206"/>
      <c r="JJL7" s="2206"/>
      <c r="JJM7" s="2206"/>
      <c r="JJN7" s="2206"/>
      <c r="JJO7" s="2206"/>
      <c r="JJP7" s="2206"/>
      <c r="JJQ7" s="2206"/>
      <c r="JJR7" s="2206"/>
      <c r="JJS7" s="2206"/>
      <c r="JJT7" s="2206"/>
      <c r="JJU7" s="2206"/>
      <c r="JJV7" s="2206"/>
      <c r="JJW7" s="2206"/>
      <c r="JJX7" s="2206"/>
      <c r="JJY7" s="2206"/>
      <c r="JJZ7" s="2206"/>
      <c r="JKA7" s="2206"/>
      <c r="JKB7" s="2206"/>
      <c r="JKC7" s="2206"/>
      <c r="JKD7" s="2206"/>
      <c r="JKE7" s="2206"/>
      <c r="JKF7" s="2206"/>
      <c r="JKG7" s="2206"/>
      <c r="JKH7" s="2206"/>
      <c r="JKI7" s="2206"/>
      <c r="JKJ7" s="2206"/>
      <c r="JKK7" s="2206"/>
      <c r="JKL7" s="2206"/>
      <c r="JKM7" s="2206"/>
      <c r="JKN7" s="2206"/>
      <c r="JKO7" s="2206"/>
      <c r="JKP7" s="2206"/>
      <c r="JKQ7" s="2206"/>
      <c r="JKR7" s="2206"/>
      <c r="JKS7" s="2206"/>
      <c r="JKT7" s="2206"/>
      <c r="JKU7" s="2206"/>
      <c r="JKV7" s="2206"/>
      <c r="JKW7" s="2206"/>
      <c r="JKX7" s="2206"/>
      <c r="JKY7" s="2206"/>
      <c r="JKZ7" s="2206"/>
      <c r="JLA7" s="2206"/>
      <c r="JLB7" s="2206"/>
      <c r="JLC7" s="2206"/>
      <c r="JLD7" s="2206"/>
      <c r="JLE7" s="2206"/>
      <c r="JLF7" s="2206"/>
      <c r="JLG7" s="2206"/>
      <c r="JLH7" s="2206"/>
      <c r="JLI7" s="2206"/>
      <c r="JLJ7" s="2206"/>
      <c r="JLK7" s="2206"/>
      <c r="JLL7" s="2206"/>
      <c r="JLM7" s="2206"/>
      <c r="JLN7" s="2206"/>
      <c r="JLO7" s="2206"/>
      <c r="JLP7" s="2206"/>
      <c r="JLQ7" s="2206"/>
      <c r="JLR7" s="2206"/>
      <c r="JLS7" s="2206"/>
      <c r="JLT7" s="2206"/>
      <c r="JLU7" s="2206"/>
      <c r="JLV7" s="2206"/>
      <c r="JLW7" s="2206"/>
      <c r="JLX7" s="2206"/>
      <c r="JLY7" s="2206"/>
      <c r="JLZ7" s="2206"/>
      <c r="JMA7" s="2206"/>
      <c r="JMB7" s="2206"/>
      <c r="JMC7" s="2206"/>
      <c r="JMD7" s="2206"/>
      <c r="JME7" s="2206"/>
      <c r="JMF7" s="2206"/>
      <c r="JMG7" s="2206"/>
      <c r="JMH7" s="2206"/>
      <c r="JMI7" s="2206"/>
      <c r="JMJ7" s="2206"/>
      <c r="JMK7" s="2206"/>
      <c r="JML7" s="2206"/>
      <c r="JMM7" s="2206"/>
      <c r="JMN7" s="2206"/>
      <c r="JMO7" s="2206"/>
      <c r="JMP7" s="2206"/>
      <c r="JMQ7" s="2206"/>
      <c r="JMR7" s="2206"/>
      <c r="JMS7" s="2206"/>
      <c r="JMT7" s="2206"/>
      <c r="JMU7" s="2206"/>
      <c r="JMV7" s="2206"/>
      <c r="JMW7" s="2206"/>
      <c r="JMX7" s="2206"/>
      <c r="JMY7" s="2206"/>
      <c r="JMZ7" s="2206"/>
      <c r="JNA7" s="2206"/>
      <c r="JNB7" s="2206"/>
      <c r="JNC7" s="2206"/>
      <c r="JND7" s="2206"/>
      <c r="JNE7" s="2206"/>
      <c r="JNF7" s="2206"/>
      <c r="JNG7" s="2206"/>
      <c r="JNH7" s="2206"/>
      <c r="JNI7" s="2206"/>
      <c r="JNJ7" s="2206"/>
      <c r="JNK7" s="2206"/>
      <c r="JNL7" s="2206"/>
      <c r="JNM7" s="2206"/>
      <c r="JNN7" s="2206"/>
      <c r="JNO7" s="2206"/>
      <c r="JNP7" s="2206"/>
      <c r="JNQ7" s="2206"/>
      <c r="JNR7" s="2206"/>
      <c r="JNS7" s="2206"/>
      <c r="JNT7" s="2206"/>
      <c r="JNU7" s="2206"/>
      <c r="JNV7" s="2206"/>
      <c r="JNW7" s="2206"/>
      <c r="JNX7" s="2206"/>
      <c r="JNY7" s="2206"/>
      <c r="JNZ7" s="2206"/>
      <c r="JOA7" s="2206"/>
      <c r="JOB7" s="2206"/>
      <c r="JOC7" s="2206"/>
      <c r="JOD7" s="2206"/>
      <c r="JOE7" s="2206"/>
      <c r="JOF7" s="2206"/>
      <c r="JOG7" s="2206"/>
      <c r="JOH7" s="2206"/>
      <c r="JOI7" s="2206"/>
      <c r="JOJ7" s="2206"/>
      <c r="JOK7" s="2206"/>
      <c r="JOL7" s="2206"/>
      <c r="JOM7" s="2206"/>
      <c r="JON7" s="2206"/>
      <c r="JOO7" s="2206"/>
      <c r="JOP7" s="2206"/>
      <c r="JOQ7" s="2206"/>
      <c r="JOR7" s="2206"/>
      <c r="JOS7" s="2206"/>
      <c r="JOT7" s="2206"/>
      <c r="JOU7" s="2206"/>
      <c r="JOV7" s="2206"/>
      <c r="JOW7" s="2206"/>
      <c r="JOX7" s="2206"/>
      <c r="JOY7" s="2206"/>
      <c r="JOZ7" s="2206"/>
      <c r="JPA7" s="2206"/>
      <c r="JPB7" s="2206"/>
      <c r="JPC7" s="2206"/>
      <c r="JPD7" s="2206"/>
      <c r="JPE7" s="2206"/>
      <c r="JPF7" s="2206"/>
      <c r="JPG7" s="2206"/>
      <c r="JPH7" s="2206"/>
      <c r="JPI7" s="2206"/>
      <c r="JPJ7" s="2206"/>
      <c r="JPK7" s="2206"/>
      <c r="JPL7" s="2206"/>
      <c r="JPM7" s="2206"/>
      <c r="JPN7" s="2206"/>
      <c r="JPO7" s="2206"/>
      <c r="JPP7" s="2206"/>
      <c r="JPQ7" s="2206"/>
      <c r="JPR7" s="2206"/>
      <c r="JPS7" s="2206"/>
      <c r="JPT7" s="2206"/>
      <c r="JPU7" s="2206"/>
      <c r="JPV7" s="2206"/>
      <c r="JPW7" s="2206"/>
      <c r="JPX7" s="2206"/>
      <c r="JPY7" s="2206"/>
      <c r="JPZ7" s="2206"/>
      <c r="JQA7" s="2206"/>
      <c r="JQB7" s="2206"/>
      <c r="JQC7" s="2206"/>
      <c r="JQD7" s="2206"/>
      <c r="JQE7" s="2206"/>
      <c r="JQF7" s="2206"/>
      <c r="JQG7" s="2206"/>
      <c r="JQH7" s="2206"/>
      <c r="JQI7" s="2206"/>
      <c r="JQJ7" s="2206"/>
      <c r="JQK7" s="2206"/>
      <c r="JQL7" s="2206"/>
      <c r="JQM7" s="2206"/>
      <c r="JQN7" s="2206"/>
      <c r="JQO7" s="2206"/>
      <c r="JQP7" s="2206"/>
      <c r="JQQ7" s="2206"/>
      <c r="JQR7" s="2206"/>
      <c r="JQS7" s="2206"/>
      <c r="JQT7" s="2206"/>
      <c r="JQU7" s="2206"/>
      <c r="JQV7" s="2206"/>
      <c r="JQW7" s="2206"/>
      <c r="JQX7" s="2206"/>
      <c r="JQY7" s="2206"/>
      <c r="JQZ7" s="2206"/>
      <c r="JRA7" s="2206"/>
      <c r="JRB7" s="2206"/>
      <c r="JRC7" s="2206"/>
      <c r="JRD7" s="2206"/>
      <c r="JRE7" s="2206"/>
      <c r="JRF7" s="2206"/>
      <c r="JRG7" s="2206"/>
      <c r="JRH7" s="2206"/>
      <c r="JRI7" s="2206"/>
      <c r="JRJ7" s="2206"/>
      <c r="JRK7" s="2206"/>
      <c r="JRL7" s="2206"/>
      <c r="JRM7" s="2206"/>
      <c r="JRN7" s="2206"/>
      <c r="JRO7" s="2206"/>
      <c r="JRP7" s="2206"/>
      <c r="JRQ7" s="2206"/>
      <c r="JRR7" s="2206"/>
      <c r="JRS7" s="2206"/>
      <c r="JRT7" s="2206"/>
      <c r="JRU7" s="2206"/>
      <c r="JRV7" s="2206"/>
      <c r="JRW7" s="2206"/>
      <c r="JRX7" s="2206"/>
      <c r="JRY7" s="2206"/>
      <c r="JRZ7" s="2206"/>
      <c r="JSA7" s="2206"/>
      <c r="JSB7" s="2206"/>
      <c r="JSC7" s="2206"/>
      <c r="JSD7" s="2206"/>
      <c r="JSE7" s="2206"/>
      <c r="JSF7" s="2206"/>
      <c r="JSG7" s="2206"/>
      <c r="JSH7" s="2206"/>
      <c r="JSI7" s="2206"/>
      <c r="JSJ7" s="2206"/>
      <c r="JSK7" s="2206"/>
      <c r="JSL7" s="2206"/>
      <c r="JSM7" s="2206"/>
      <c r="JSN7" s="2206"/>
      <c r="JSO7" s="2206"/>
      <c r="JSP7" s="2206"/>
      <c r="JSQ7" s="2206"/>
      <c r="JSR7" s="2206"/>
      <c r="JSS7" s="2206"/>
      <c r="JST7" s="2206"/>
      <c r="JSU7" s="2206"/>
      <c r="JSV7" s="2206"/>
      <c r="JSW7" s="2206"/>
      <c r="JSX7" s="2206"/>
      <c r="JSY7" s="2206"/>
      <c r="JSZ7" s="2206"/>
      <c r="JTA7" s="2206"/>
      <c r="JTB7" s="2206"/>
      <c r="JTC7" s="2206"/>
      <c r="JTD7" s="2206"/>
      <c r="JTE7" s="2206"/>
      <c r="JTF7" s="2206"/>
      <c r="JTG7" s="2206"/>
      <c r="JTH7" s="2206"/>
      <c r="JTI7" s="2206"/>
      <c r="JTJ7" s="2206"/>
      <c r="JTK7" s="2206"/>
      <c r="JTL7" s="2206"/>
      <c r="JTM7" s="2206"/>
      <c r="JTN7" s="2206"/>
      <c r="JTO7" s="2206"/>
      <c r="JTP7" s="2206"/>
      <c r="JTQ7" s="2206"/>
      <c r="JTR7" s="2206"/>
      <c r="JTS7" s="2206"/>
      <c r="JTT7" s="2206"/>
      <c r="JTU7" s="2206"/>
      <c r="JTV7" s="2206"/>
      <c r="JTW7" s="2206"/>
      <c r="JTX7" s="2206"/>
      <c r="JTY7" s="2206"/>
      <c r="JTZ7" s="2206"/>
      <c r="JUA7" s="2206"/>
      <c r="JUB7" s="2206"/>
      <c r="JUC7" s="2206"/>
      <c r="JUD7" s="2206"/>
      <c r="JUE7" s="2206"/>
      <c r="JUF7" s="2206"/>
      <c r="JUG7" s="2206"/>
      <c r="JUH7" s="2206"/>
      <c r="JUI7" s="2206"/>
      <c r="JUJ7" s="2206"/>
      <c r="JUK7" s="2206"/>
      <c r="JUL7" s="2206"/>
      <c r="JUM7" s="2206"/>
      <c r="JUN7" s="2206"/>
      <c r="JUO7" s="2206"/>
      <c r="JUP7" s="2206"/>
      <c r="JUQ7" s="2206"/>
      <c r="JUR7" s="2206"/>
      <c r="JUS7" s="2206"/>
      <c r="JUT7" s="2206"/>
      <c r="JUU7" s="2206"/>
      <c r="JUV7" s="2206"/>
      <c r="JUW7" s="2206"/>
      <c r="JUX7" s="2206"/>
      <c r="JUY7" s="2206"/>
      <c r="JUZ7" s="2206"/>
      <c r="JVA7" s="2206"/>
      <c r="JVB7" s="2206"/>
      <c r="JVC7" s="2206"/>
      <c r="JVD7" s="2206"/>
      <c r="JVE7" s="2206"/>
      <c r="JVF7" s="2206"/>
      <c r="JVG7" s="2206"/>
      <c r="JVH7" s="2206"/>
      <c r="JVI7" s="2206"/>
      <c r="JVJ7" s="2206"/>
      <c r="JVK7" s="2206"/>
      <c r="JVL7" s="2206"/>
      <c r="JVM7" s="2206"/>
      <c r="JVN7" s="2206"/>
      <c r="JVO7" s="2206"/>
      <c r="JVP7" s="2206"/>
      <c r="JVQ7" s="2206"/>
      <c r="JVR7" s="2206"/>
      <c r="JVS7" s="2206"/>
      <c r="JVT7" s="2206"/>
      <c r="JVU7" s="2206"/>
      <c r="JVV7" s="2206"/>
      <c r="JVW7" s="2206"/>
      <c r="JVX7" s="2206"/>
      <c r="JVY7" s="2206"/>
      <c r="JVZ7" s="2206"/>
      <c r="JWA7" s="2206"/>
      <c r="JWB7" s="2206"/>
      <c r="JWC7" s="2206"/>
      <c r="JWD7" s="2206"/>
      <c r="JWE7" s="2206"/>
      <c r="JWF7" s="2206"/>
      <c r="JWG7" s="2206"/>
      <c r="JWH7" s="2206"/>
      <c r="JWI7" s="2206"/>
      <c r="JWJ7" s="2206"/>
      <c r="JWK7" s="2206"/>
      <c r="JWL7" s="2206"/>
      <c r="JWM7" s="2206"/>
      <c r="JWN7" s="2206"/>
      <c r="JWO7" s="2206"/>
      <c r="JWP7" s="2206"/>
      <c r="JWQ7" s="2206"/>
      <c r="JWR7" s="2206"/>
      <c r="JWS7" s="2206"/>
      <c r="JWT7" s="2206"/>
      <c r="JWU7" s="2206"/>
      <c r="JWV7" s="2206"/>
      <c r="JWW7" s="2206"/>
      <c r="JWX7" s="2206"/>
      <c r="JWY7" s="2206"/>
      <c r="JWZ7" s="2206"/>
      <c r="JXA7" s="2206"/>
      <c r="JXB7" s="2206"/>
      <c r="JXC7" s="2206"/>
      <c r="JXD7" s="2206"/>
      <c r="JXE7" s="2206"/>
      <c r="JXF7" s="2206"/>
      <c r="JXG7" s="2206"/>
      <c r="JXH7" s="2206"/>
      <c r="JXI7" s="2206"/>
      <c r="JXJ7" s="2206"/>
      <c r="JXK7" s="2206"/>
      <c r="JXL7" s="2206"/>
      <c r="JXM7" s="2206"/>
      <c r="JXN7" s="2206"/>
      <c r="JXO7" s="2206"/>
      <c r="JXP7" s="2206"/>
      <c r="JXQ7" s="2206"/>
      <c r="JXR7" s="2206"/>
      <c r="JXS7" s="2206"/>
      <c r="JXT7" s="2206"/>
      <c r="JXU7" s="2206"/>
      <c r="JXV7" s="2206"/>
      <c r="JXW7" s="2206"/>
      <c r="JXX7" s="2206"/>
      <c r="JXY7" s="2206"/>
      <c r="JXZ7" s="2206"/>
      <c r="JYA7" s="2206"/>
      <c r="JYB7" s="2206"/>
      <c r="JYC7" s="2206"/>
      <c r="JYD7" s="2206"/>
      <c r="JYE7" s="2206"/>
      <c r="JYF7" s="2206"/>
      <c r="JYG7" s="2206"/>
      <c r="JYH7" s="2206"/>
      <c r="JYI7" s="2206"/>
      <c r="JYJ7" s="2206"/>
      <c r="JYK7" s="2206"/>
      <c r="JYL7" s="2206"/>
      <c r="JYM7" s="2206"/>
      <c r="JYN7" s="2206"/>
      <c r="JYO7" s="2206"/>
      <c r="JYP7" s="2206"/>
      <c r="JYQ7" s="2206"/>
      <c r="JYR7" s="2206"/>
      <c r="JYS7" s="2206"/>
      <c r="JYT7" s="2206"/>
      <c r="JYU7" s="2206"/>
      <c r="JYV7" s="2206"/>
      <c r="JYW7" s="2206"/>
      <c r="JYX7" s="2206"/>
      <c r="JYY7" s="2206"/>
      <c r="JYZ7" s="2206"/>
      <c r="JZA7" s="2206"/>
      <c r="JZB7" s="2206"/>
      <c r="JZC7" s="2206"/>
      <c r="JZD7" s="2206"/>
      <c r="JZE7" s="2206"/>
      <c r="JZF7" s="2206"/>
      <c r="JZG7" s="2206"/>
      <c r="JZH7" s="2206"/>
      <c r="JZI7" s="2206"/>
      <c r="JZJ7" s="2206"/>
      <c r="JZK7" s="2206"/>
      <c r="JZL7" s="2206"/>
      <c r="JZM7" s="2206"/>
      <c r="JZN7" s="2206"/>
      <c r="JZO7" s="2206"/>
      <c r="JZP7" s="2206"/>
      <c r="JZQ7" s="2206"/>
      <c r="JZR7" s="2206"/>
      <c r="JZS7" s="2206"/>
      <c r="JZT7" s="2206"/>
      <c r="JZU7" s="2206"/>
      <c r="JZV7" s="2206"/>
      <c r="JZW7" s="2206"/>
      <c r="JZX7" s="2206"/>
      <c r="JZY7" s="2206"/>
      <c r="JZZ7" s="2206"/>
      <c r="KAA7" s="2206"/>
      <c r="KAB7" s="2206"/>
      <c r="KAC7" s="2206"/>
      <c r="KAD7" s="2206"/>
      <c r="KAE7" s="2206"/>
      <c r="KAF7" s="2206"/>
      <c r="KAG7" s="2206"/>
      <c r="KAH7" s="2206"/>
      <c r="KAI7" s="2206"/>
      <c r="KAJ7" s="2206"/>
      <c r="KAK7" s="2206"/>
      <c r="KAL7" s="2206"/>
      <c r="KAM7" s="2206"/>
      <c r="KAN7" s="2206"/>
      <c r="KAO7" s="2206"/>
      <c r="KAP7" s="2206"/>
      <c r="KAQ7" s="2206"/>
      <c r="KAR7" s="2206"/>
      <c r="KAS7" s="2206"/>
      <c r="KAT7" s="2206"/>
      <c r="KAU7" s="2206"/>
      <c r="KAV7" s="2206"/>
      <c r="KAW7" s="2206"/>
      <c r="KAX7" s="2206"/>
      <c r="KAY7" s="2206"/>
      <c r="KAZ7" s="2206"/>
      <c r="KBA7" s="2206"/>
      <c r="KBB7" s="2206"/>
      <c r="KBC7" s="2206"/>
      <c r="KBD7" s="2206"/>
      <c r="KBE7" s="2206"/>
      <c r="KBF7" s="2206"/>
      <c r="KBG7" s="2206"/>
      <c r="KBH7" s="2206"/>
      <c r="KBI7" s="2206"/>
      <c r="KBJ7" s="2206"/>
      <c r="KBK7" s="2206"/>
      <c r="KBL7" s="2206"/>
      <c r="KBM7" s="2206"/>
      <c r="KBN7" s="2206"/>
      <c r="KBO7" s="2206"/>
      <c r="KBP7" s="2206"/>
      <c r="KBQ7" s="2206"/>
      <c r="KBR7" s="2206"/>
      <c r="KBS7" s="2206"/>
      <c r="KBT7" s="2206"/>
      <c r="KBU7" s="2206"/>
      <c r="KBV7" s="2206"/>
      <c r="KBW7" s="2206"/>
      <c r="KBX7" s="2206"/>
      <c r="KBY7" s="2206"/>
      <c r="KBZ7" s="2206"/>
      <c r="KCA7" s="2206"/>
      <c r="KCB7" s="2206"/>
      <c r="KCC7" s="2206"/>
      <c r="KCD7" s="2206"/>
      <c r="KCE7" s="2206"/>
      <c r="KCF7" s="2206"/>
      <c r="KCG7" s="2206"/>
      <c r="KCH7" s="2206"/>
      <c r="KCI7" s="2206"/>
      <c r="KCJ7" s="2206"/>
      <c r="KCK7" s="2206"/>
      <c r="KCL7" s="2206"/>
      <c r="KCM7" s="2206"/>
      <c r="KCN7" s="2206"/>
      <c r="KCO7" s="2206"/>
      <c r="KCP7" s="2206"/>
      <c r="KCQ7" s="2206"/>
      <c r="KCR7" s="2206"/>
      <c r="KCS7" s="2206"/>
      <c r="KCT7" s="2206"/>
      <c r="KCU7" s="2206"/>
      <c r="KCV7" s="2206"/>
      <c r="KCW7" s="2206"/>
      <c r="KCX7" s="2206"/>
      <c r="KCY7" s="2206"/>
      <c r="KCZ7" s="2206"/>
      <c r="KDA7" s="2206"/>
      <c r="KDB7" s="2206"/>
      <c r="KDC7" s="2206"/>
      <c r="KDD7" s="2206"/>
      <c r="KDE7" s="2206"/>
      <c r="KDF7" s="2206"/>
      <c r="KDG7" s="2206"/>
      <c r="KDH7" s="2206"/>
      <c r="KDI7" s="2206"/>
      <c r="KDJ7" s="2206"/>
      <c r="KDK7" s="2206"/>
      <c r="KDL7" s="2206"/>
      <c r="KDM7" s="2206"/>
      <c r="KDN7" s="2206"/>
      <c r="KDO7" s="2206"/>
      <c r="KDP7" s="2206"/>
      <c r="KDQ7" s="2206"/>
      <c r="KDR7" s="2206"/>
      <c r="KDS7" s="2206"/>
      <c r="KDT7" s="2206"/>
      <c r="KDU7" s="2206"/>
      <c r="KDV7" s="2206"/>
      <c r="KDW7" s="2206"/>
      <c r="KDX7" s="2206"/>
      <c r="KDY7" s="2206"/>
      <c r="KDZ7" s="2206"/>
      <c r="KEA7" s="2206"/>
      <c r="KEB7" s="2206"/>
      <c r="KEC7" s="2206"/>
      <c r="KED7" s="2206"/>
      <c r="KEE7" s="2206"/>
      <c r="KEF7" s="2206"/>
      <c r="KEG7" s="2206"/>
      <c r="KEH7" s="2206"/>
      <c r="KEI7" s="2206"/>
      <c r="KEJ7" s="2206"/>
      <c r="KEK7" s="2206"/>
      <c r="KEL7" s="2206"/>
      <c r="KEM7" s="2206"/>
      <c r="KEN7" s="2206"/>
      <c r="KEO7" s="2206"/>
      <c r="KEP7" s="2206"/>
      <c r="KEQ7" s="2206"/>
      <c r="KER7" s="2206"/>
      <c r="KES7" s="2206"/>
      <c r="KET7" s="2206"/>
      <c r="KEU7" s="2206"/>
      <c r="KEV7" s="2206"/>
      <c r="KEW7" s="2206"/>
      <c r="KEX7" s="2206"/>
      <c r="KEY7" s="2206"/>
      <c r="KEZ7" s="2206"/>
      <c r="KFA7" s="2206"/>
      <c r="KFB7" s="2206"/>
      <c r="KFC7" s="2206"/>
      <c r="KFD7" s="2206"/>
      <c r="KFE7" s="2206"/>
      <c r="KFF7" s="2206"/>
      <c r="KFG7" s="2206"/>
      <c r="KFH7" s="2206"/>
      <c r="KFI7" s="2206"/>
      <c r="KFJ7" s="2206"/>
      <c r="KFK7" s="2206"/>
      <c r="KFL7" s="2206"/>
      <c r="KFM7" s="2206"/>
      <c r="KFN7" s="2206"/>
      <c r="KFO7" s="2206"/>
      <c r="KFP7" s="2206"/>
      <c r="KFQ7" s="2206"/>
      <c r="KFR7" s="2206"/>
      <c r="KFS7" s="2206"/>
      <c r="KFT7" s="2206"/>
      <c r="KFU7" s="2206"/>
      <c r="KFV7" s="2206"/>
      <c r="KFW7" s="2206"/>
      <c r="KFX7" s="2206"/>
      <c r="KFY7" s="2206"/>
      <c r="KFZ7" s="2206"/>
      <c r="KGA7" s="2206"/>
      <c r="KGB7" s="2206"/>
      <c r="KGC7" s="2206"/>
      <c r="KGD7" s="2206"/>
      <c r="KGE7" s="2206"/>
      <c r="KGF7" s="2206"/>
      <c r="KGG7" s="2206"/>
      <c r="KGH7" s="2206"/>
      <c r="KGI7" s="2206"/>
      <c r="KGJ7" s="2206"/>
      <c r="KGK7" s="2206"/>
      <c r="KGL7" s="2206"/>
      <c r="KGM7" s="2206"/>
      <c r="KGN7" s="2206"/>
      <c r="KGO7" s="2206"/>
      <c r="KGP7" s="2206"/>
      <c r="KGQ7" s="2206"/>
      <c r="KGR7" s="2206"/>
      <c r="KGS7" s="2206"/>
      <c r="KGT7" s="2206"/>
      <c r="KGU7" s="2206"/>
      <c r="KGV7" s="2206"/>
      <c r="KGW7" s="2206"/>
      <c r="KGX7" s="2206"/>
      <c r="KGY7" s="2206"/>
      <c r="KGZ7" s="2206"/>
      <c r="KHA7" s="2206"/>
      <c r="KHB7" s="2206"/>
      <c r="KHC7" s="2206"/>
      <c r="KHD7" s="2206"/>
      <c r="KHE7" s="2206"/>
      <c r="KHF7" s="2206"/>
      <c r="KHG7" s="2206"/>
      <c r="KHH7" s="2206"/>
      <c r="KHI7" s="2206"/>
      <c r="KHJ7" s="2206"/>
      <c r="KHK7" s="2206"/>
      <c r="KHL7" s="2206"/>
      <c r="KHM7" s="2206"/>
      <c r="KHN7" s="2206"/>
      <c r="KHO7" s="2206"/>
      <c r="KHP7" s="2206"/>
      <c r="KHQ7" s="2206"/>
      <c r="KHR7" s="2206"/>
      <c r="KHS7" s="2206"/>
      <c r="KHT7" s="2206"/>
      <c r="KHU7" s="2206"/>
      <c r="KHV7" s="2206"/>
      <c r="KHW7" s="2206"/>
      <c r="KHX7" s="2206"/>
      <c r="KHY7" s="2206"/>
      <c r="KHZ7" s="2206"/>
      <c r="KIA7" s="2206"/>
      <c r="KIB7" s="2206"/>
      <c r="KIC7" s="2206"/>
      <c r="KID7" s="2206"/>
      <c r="KIE7" s="2206"/>
      <c r="KIF7" s="2206"/>
      <c r="KIG7" s="2206"/>
      <c r="KIH7" s="2206"/>
      <c r="KII7" s="2206"/>
      <c r="KIJ7" s="2206"/>
      <c r="KIK7" s="2206"/>
      <c r="KIL7" s="2206"/>
      <c r="KIM7" s="2206"/>
      <c r="KIN7" s="2206"/>
      <c r="KIO7" s="2206"/>
      <c r="KIP7" s="2206"/>
      <c r="KIQ7" s="2206"/>
      <c r="KIR7" s="2206"/>
      <c r="KIS7" s="2206"/>
      <c r="KIT7" s="2206"/>
      <c r="KIU7" s="2206"/>
      <c r="KIV7" s="2206"/>
      <c r="KIW7" s="2206"/>
      <c r="KIX7" s="2206"/>
      <c r="KIY7" s="2206"/>
      <c r="KIZ7" s="2206"/>
      <c r="KJA7" s="2206"/>
      <c r="KJB7" s="2206"/>
      <c r="KJC7" s="2206"/>
      <c r="KJD7" s="2206"/>
      <c r="KJE7" s="2206"/>
      <c r="KJF7" s="2206"/>
      <c r="KJG7" s="2206"/>
      <c r="KJH7" s="2206"/>
      <c r="KJI7" s="2206"/>
      <c r="KJJ7" s="2206"/>
      <c r="KJK7" s="2206"/>
      <c r="KJL7" s="2206"/>
      <c r="KJM7" s="2206"/>
      <c r="KJN7" s="2206"/>
      <c r="KJO7" s="2206"/>
      <c r="KJP7" s="2206"/>
      <c r="KJQ7" s="2206"/>
      <c r="KJR7" s="2206"/>
      <c r="KJS7" s="2206"/>
      <c r="KJT7" s="2206"/>
      <c r="KJU7" s="2206"/>
      <c r="KJV7" s="2206"/>
      <c r="KJW7" s="2206"/>
      <c r="KJX7" s="2206"/>
      <c r="KJY7" s="2206"/>
      <c r="KJZ7" s="2206"/>
      <c r="KKA7" s="2206"/>
      <c r="KKB7" s="2206"/>
      <c r="KKC7" s="2206"/>
      <c r="KKD7" s="2206"/>
      <c r="KKE7" s="2206"/>
      <c r="KKF7" s="2206"/>
      <c r="KKG7" s="2206"/>
      <c r="KKH7" s="2206"/>
      <c r="KKI7" s="2206"/>
      <c r="KKJ7" s="2206"/>
      <c r="KKK7" s="2206"/>
      <c r="KKL7" s="2206"/>
      <c r="KKM7" s="2206"/>
      <c r="KKN7" s="2206"/>
      <c r="KKO7" s="2206"/>
      <c r="KKP7" s="2206"/>
      <c r="KKQ7" s="2206"/>
      <c r="KKR7" s="2206"/>
      <c r="KKS7" s="2206"/>
      <c r="KKT7" s="2206"/>
      <c r="KKU7" s="2206"/>
      <c r="KKV7" s="2206"/>
      <c r="KKW7" s="2206"/>
      <c r="KKX7" s="2206"/>
      <c r="KKY7" s="2206"/>
      <c r="KKZ7" s="2206"/>
      <c r="KLA7" s="2206"/>
      <c r="KLB7" s="2206"/>
      <c r="KLC7" s="2206"/>
      <c r="KLD7" s="2206"/>
      <c r="KLE7" s="2206"/>
      <c r="KLF7" s="2206"/>
      <c r="KLG7" s="2206"/>
      <c r="KLH7" s="2206"/>
      <c r="KLI7" s="2206"/>
      <c r="KLJ7" s="2206"/>
      <c r="KLK7" s="2206"/>
      <c r="KLL7" s="2206"/>
      <c r="KLM7" s="2206"/>
      <c r="KLN7" s="2206"/>
      <c r="KLO7" s="2206"/>
      <c r="KLP7" s="2206"/>
      <c r="KLQ7" s="2206"/>
      <c r="KLR7" s="2206"/>
      <c r="KLS7" s="2206"/>
      <c r="KLT7" s="2206"/>
      <c r="KLU7" s="2206"/>
      <c r="KLV7" s="2206"/>
      <c r="KLW7" s="2206"/>
      <c r="KLX7" s="2206"/>
      <c r="KLY7" s="2206"/>
      <c r="KLZ7" s="2206"/>
      <c r="KMA7" s="2206"/>
      <c r="KMB7" s="2206"/>
      <c r="KMC7" s="2206"/>
      <c r="KMD7" s="2206"/>
      <c r="KME7" s="2206"/>
      <c r="KMF7" s="2206"/>
      <c r="KMG7" s="2206"/>
      <c r="KMH7" s="2206"/>
      <c r="KMI7" s="2206"/>
      <c r="KMJ7" s="2206"/>
      <c r="KMK7" s="2206"/>
      <c r="KML7" s="2206"/>
      <c r="KMM7" s="2206"/>
      <c r="KMN7" s="2206"/>
      <c r="KMO7" s="2206"/>
      <c r="KMP7" s="2206"/>
      <c r="KMQ7" s="2206"/>
      <c r="KMR7" s="2206"/>
      <c r="KMS7" s="2206"/>
      <c r="KMT7" s="2206"/>
      <c r="KMU7" s="2206"/>
      <c r="KMV7" s="2206"/>
      <c r="KMW7" s="2206"/>
      <c r="KMX7" s="2206"/>
      <c r="KMY7" s="2206"/>
      <c r="KMZ7" s="2206"/>
      <c r="KNA7" s="2206"/>
      <c r="KNB7" s="2206"/>
      <c r="KNC7" s="2206"/>
      <c r="KND7" s="2206"/>
      <c r="KNE7" s="2206"/>
      <c r="KNF7" s="2206"/>
      <c r="KNG7" s="2206"/>
      <c r="KNH7" s="2206"/>
      <c r="KNI7" s="2206"/>
      <c r="KNJ7" s="2206"/>
      <c r="KNK7" s="2206"/>
      <c r="KNL7" s="2206"/>
      <c r="KNM7" s="2206"/>
      <c r="KNN7" s="2206"/>
      <c r="KNO7" s="2206"/>
      <c r="KNP7" s="2206"/>
      <c r="KNQ7" s="2206"/>
      <c r="KNR7" s="2206"/>
      <c r="KNS7" s="2206"/>
      <c r="KNT7" s="2206"/>
      <c r="KNU7" s="2206"/>
      <c r="KNV7" s="2206"/>
      <c r="KNW7" s="2206"/>
      <c r="KNX7" s="2206"/>
      <c r="KNY7" s="2206"/>
      <c r="KNZ7" s="2206"/>
      <c r="KOA7" s="2206"/>
      <c r="KOB7" s="2206"/>
      <c r="KOC7" s="2206"/>
      <c r="KOD7" s="2206"/>
      <c r="KOE7" s="2206"/>
      <c r="KOF7" s="2206"/>
      <c r="KOG7" s="2206"/>
      <c r="KOH7" s="2206"/>
      <c r="KOI7" s="2206"/>
      <c r="KOJ7" s="2206"/>
      <c r="KOK7" s="2206"/>
      <c r="KOL7" s="2206"/>
      <c r="KOM7" s="2206"/>
      <c r="KON7" s="2206"/>
      <c r="KOO7" s="2206"/>
      <c r="KOP7" s="2206"/>
      <c r="KOQ7" s="2206"/>
      <c r="KOR7" s="2206"/>
      <c r="KOS7" s="2206"/>
      <c r="KOT7" s="2206"/>
      <c r="KOU7" s="2206"/>
      <c r="KOV7" s="2206"/>
      <c r="KOW7" s="2206"/>
      <c r="KOX7" s="2206"/>
      <c r="KOY7" s="2206"/>
      <c r="KOZ7" s="2206"/>
      <c r="KPA7" s="2206"/>
      <c r="KPB7" s="2206"/>
      <c r="KPC7" s="2206"/>
      <c r="KPD7" s="2206"/>
      <c r="KPE7" s="2206"/>
      <c r="KPF7" s="2206"/>
      <c r="KPG7" s="2206"/>
      <c r="KPH7" s="2206"/>
      <c r="KPI7" s="2206"/>
      <c r="KPJ7" s="2206"/>
      <c r="KPK7" s="2206"/>
      <c r="KPL7" s="2206"/>
      <c r="KPM7" s="2206"/>
      <c r="KPN7" s="2206"/>
      <c r="KPO7" s="2206"/>
      <c r="KPP7" s="2206"/>
      <c r="KPQ7" s="2206"/>
      <c r="KPR7" s="2206"/>
      <c r="KPS7" s="2206"/>
      <c r="KPT7" s="2206"/>
      <c r="KPU7" s="2206"/>
      <c r="KPV7" s="2206"/>
      <c r="KPW7" s="2206"/>
      <c r="KPX7" s="2206"/>
      <c r="KPY7" s="2206"/>
      <c r="KPZ7" s="2206"/>
      <c r="KQA7" s="2206"/>
      <c r="KQB7" s="2206"/>
      <c r="KQC7" s="2206"/>
      <c r="KQD7" s="2206"/>
      <c r="KQE7" s="2206"/>
      <c r="KQF7" s="2206"/>
      <c r="KQG7" s="2206"/>
      <c r="KQH7" s="2206"/>
      <c r="KQI7" s="2206"/>
      <c r="KQJ7" s="2206"/>
      <c r="KQK7" s="2206"/>
      <c r="KQL7" s="2206"/>
      <c r="KQM7" s="2206"/>
      <c r="KQN7" s="2206"/>
      <c r="KQO7" s="2206"/>
      <c r="KQP7" s="2206"/>
      <c r="KQQ7" s="2206"/>
      <c r="KQR7" s="2206"/>
      <c r="KQS7" s="2206"/>
      <c r="KQT7" s="2206"/>
      <c r="KQU7" s="2206"/>
      <c r="KQV7" s="2206"/>
      <c r="KQW7" s="2206"/>
      <c r="KQX7" s="2206"/>
      <c r="KQY7" s="2206"/>
      <c r="KQZ7" s="2206"/>
      <c r="KRA7" s="2206"/>
      <c r="KRB7" s="2206"/>
      <c r="KRC7" s="2206"/>
      <c r="KRD7" s="2206"/>
      <c r="KRE7" s="2206"/>
      <c r="KRF7" s="2206"/>
      <c r="KRG7" s="2206"/>
      <c r="KRH7" s="2206"/>
      <c r="KRI7" s="2206"/>
      <c r="KRJ7" s="2206"/>
      <c r="KRK7" s="2206"/>
      <c r="KRL7" s="2206"/>
      <c r="KRM7" s="2206"/>
      <c r="KRN7" s="2206"/>
      <c r="KRO7" s="2206"/>
      <c r="KRP7" s="2206"/>
      <c r="KRQ7" s="2206"/>
      <c r="KRR7" s="2206"/>
      <c r="KRS7" s="2206"/>
      <c r="KRT7" s="2206"/>
      <c r="KRU7" s="2206"/>
      <c r="KRV7" s="2206"/>
      <c r="KRW7" s="2206"/>
      <c r="KRX7" s="2206"/>
      <c r="KRY7" s="2206"/>
      <c r="KRZ7" s="2206"/>
      <c r="KSA7" s="2206"/>
      <c r="KSB7" s="2206"/>
      <c r="KSC7" s="2206"/>
      <c r="KSD7" s="2206"/>
      <c r="KSE7" s="2206"/>
      <c r="KSF7" s="2206"/>
      <c r="KSG7" s="2206"/>
      <c r="KSH7" s="2206"/>
      <c r="KSI7" s="2206"/>
      <c r="KSJ7" s="2206"/>
      <c r="KSK7" s="2206"/>
      <c r="KSL7" s="2206"/>
      <c r="KSM7" s="2206"/>
      <c r="KSN7" s="2206"/>
      <c r="KSO7" s="2206"/>
      <c r="KSP7" s="2206"/>
      <c r="KSQ7" s="2206"/>
      <c r="KSR7" s="2206"/>
      <c r="KSS7" s="2206"/>
      <c r="KST7" s="2206"/>
      <c r="KSU7" s="2206"/>
      <c r="KSV7" s="2206"/>
      <c r="KSW7" s="2206"/>
      <c r="KSX7" s="2206"/>
      <c r="KSY7" s="2206"/>
      <c r="KSZ7" s="2206"/>
      <c r="KTA7" s="2206"/>
      <c r="KTB7" s="2206"/>
      <c r="KTC7" s="2206"/>
      <c r="KTD7" s="2206"/>
      <c r="KTE7" s="2206"/>
      <c r="KTF7" s="2206"/>
      <c r="KTG7" s="2206"/>
      <c r="KTH7" s="2206"/>
      <c r="KTI7" s="2206"/>
      <c r="KTJ7" s="2206"/>
      <c r="KTK7" s="2206"/>
      <c r="KTL7" s="2206"/>
      <c r="KTM7" s="2206"/>
      <c r="KTN7" s="2206"/>
      <c r="KTO7" s="2206"/>
      <c r="KTP7" s="2206"/>
      <c r="KTQ7" s="2206"/>
      <c r="KTR7" s="2206"/>
      <c r="KTS7" s="2206"/>
      <c r="KTT7" s="2206"/>
      <c r="KTU7" s="2206"/>
      <c r="KTV7" s="2206"/>
      <c r="KTW7" s="2206"/>
      <c r="KTX7" s="2206"/>
      <c r="KTY7" s="2206"/>
      <c r="KTZ7" s="2206"/>
      <c r="KUA7" s="2206"/>
      <c r="KUB7" s="2206"/>
      <c r="KUC7" s="2206"/>
      <c r="KUD7" s="2206"/>
      <c r="KUE7" s="2206"/>
      <c r="KUF7" s="2206"/>
      <c r="KUG7" s="2206"/>
      <c r="KUH7" s="2206"/>
      <c r="KUI7" s="2206"/>
      <c r="KUJ7" s="2206"/>
      <c r="KUK7" s="2206"/>
      <c r="KUL7" s="2206"/>
      <c r="KUM7" s="2206"/>
      <c r="KUN7" s="2206"/>
      <c r="KUO7" s="2206"/>
      <c r="KUP7" s="2206"/>
      <c r="KUQ7" s="2206"/>
      <c r="KUR7" s="2206"/>
      <c r="KUS7" s="2206"/>
      <c r="KUT7" s="2206"/>
      <c r="KUU7" s="2206"/>
      <c r="KUV7" s="2206"/>
      <c r="KUW7" s="2206"/>
      <c r="KUX7" s="2206"/>
      <c r="KUY7" s="2206"/>
      <c r="KUZ7" s="2206"/>
      <c r="KVA7" s="2206"/>
      <c r="KVB7" s="2206"/>
      <c r="KVC7" s="2206"/>
      <c r="KVD7" s="2206"/>
      <c r="KVE7" s="2206"/>
      <c r="KVF7" s="2206"/>
      <c r="KVG7" s="2206"/>
      <c r="KVH7" s="2206"/>
      <c r="KVI7" s="2206"/>
      <c r="KVJ7" s="2206"/>
      <c r="KVK7" s="2206"/>
      <c r="KVL7" s="2206"/>
      <c r="KVM7" s="2206"/>
      <c r="KVN7" s="2206"/>
      <c r="KVO7" s="2206"/>
      <c r="KVP7" s="2206"/>
      <c r="KVQ7" s="2206"/>
      <c r="KVR7" s="2206"/>
      <c r="KVS7" s="2206"/>
      <c r="KVT7" s="2206"/>
      <c r="KVU7" s="2206"/>
      <c r="KVV7" s="2206"/>
      <c r="KVW7" s="2206"/>
      <c r="KVX7" s="2206"/>
      <c r="KVY7" s="2206"/>
      <c r="KVZ7" s="2206"/>
      <c r="KWA7" s="2206"/>
      <c r="KWB7" s="2206"/>
      <c r="KWC7" s="2206"/>
      <c r="KWD7" s="2206"/>
      <c r="KWE7" s="2206"/>
      <c r="KWF7" s="2206"/>
      <c r="KWG7" s="2206"/>
      <c r="KWH7" s="2206"/>
      <c r="KWI7" s="2206"/>
      <c r="KWJ7" s="2206"/>
      <c r="KWK7" s="2206"/>
      <c r="KWL7" s="2206"/>
      <c r="KWM7" s="2206"/>
      <c r="KWN7" s="2206"/>
      <c r="KWO7" s="2206"/>
      <c r="KWP7" s="2206"/>
      <c r="KWQ7" s="2206"/>
      <c r="KWR7" s="2206"/>
      <c r="KWS7" s="2206"/>
      <c r="KWT7" s="2206"/>
      <c r="KWU7" s="2206"/>
      <c r="KWV7" s="2206"/>
      <c r="KWW7" s="2206"/>
      <c r="KWX7" s="2206"/>
      <c r="KWY7" s="2206"/>
      <c r="KWZ7" s="2206"/>
      <c r="KXA7" s="2206"/>
      <c r="KXB7" s="2206"/>
      <c r="KXC7" s="2206"/>
      <c r="KXD7" s="2206"/>
      <c r="KXE7" s="2206"/>
      <c r="KXF7" s="2206"/>
      <c r="KXG7" s="2206"/>
      <c r="KXH7" s="2206"/>
      <c r="KXI7" s="2206"/>
      <c r="KXJ7" s="2206"/>
      <c r="KXK7" s="2206"/>
      <c r="KXL7" s="2206"/>
      <c r="KXM7" s="2206"/>
      <c r="KXN7" s="2206"/>
      <c r="KXO7" s="2206"/>
      <c r="KXP7" s="2206"/>
      <c r="KXQ7" s="2206"/>
      <c r="KXR7" s="2206"/>
      <c r="KXS7" s="2206"/>
      <c r="KXT7" s="2206"/>
      <c r="KXU7" s="2206"/>
      <c r="KXV7" s="2206"/>
      <c r="KXW7" s="2206"/>
      <c r="KXX7" s="2206"/>
      <c r="KXY7" s="2206"/>
      <c r="KXZ7" s="2206"/>
      <c r="KYA7" s="2206"/>
      <c r="KYB7" s="2206"/>
      <c r="KYC7" s="2206"/>
      <c r="KYD7" s="2206"/>
      <c r="KYE7" s="2206"/>
      <c r="KYF7" s="2206"/>
      <c r="KYG7" s="2206"/>
      <c r="KYH7" s="2206"/>
      <c r="KYI7" s="2206"/>
      <c r="KYJ7" s="2206"/>
      <c r="KYK7" s="2206"/>
      <c r="KYL7" s="2206"/>
      <c r="KYM7" s="2206"/>
      <c r="KYN7" s="2206"/>
      <c r="KYO7" s="2206"/>
      <c r="KYP7" s="2206"/>
      <c r="KYQ7" s="2206"/>
      <c r="KYR7" s="2206"/>
      <c r="KYS7" s="2206"/>
      <c r="KYT7" s="2206"/>
      <c r="KYU7" s="2206"/>
      <c r="KYV7" s="2206"/>
      <c r="KYW7" s="2206"/>
      <c r="KYX7" s="2206"/>
      <c r="KYY7" s="2206"/>
      <c r="KYZ7" s="2206"/>
      <c r="KZA7" s="2206"/>
      <c r="KZB7" s="2206"/>
      <c r="KZC7" s="2206"/>
      <c r="KZD7" s="2206"/>
      <c r="KZE7" s="2206"/>
      <c r="KZF7" s="2206"/>
      <c r="KZG7" s="2206"/>
      <c r="KZH7" s="2206"/>
      <c r="KZI7" s="2206"/>
      <c r="KZJ7" s="2206"/>
      <c r="KZK7" s="2206"/>
      <c r="KZL7" s="2206"/>
      <c r="KZM7" s="2206"/>
      <c r="KZN7" s="2206"/>
      <c r="KZO7" s="2206"/>
      <c r="KZP7" s="2206"/>
      <c r="KZQ7" s="2206"/>
      <c r="KZR7" s="2206"/>
      <c r="KZS7" s="2206"/>
      <c r="KZT7" s="2206"/>
      <c r="KZU7" s="2206"/>
      <c r="KZV7" s="2206"/>
      <c r="KZW7" s="2206"/>
      <c r="KZX7" s="2206"/>
      <c r="KZY7" s="2206"/>
      <c r="KZZ7" s="2206"/>
      <c r="LAA7" s="2206"/>
      <c r="LAB7" s="2206"/>
      <c r="LAC7" s="2206"/>
      <c r="LAD7" s="2206"/>
      <c r="LAE7" s="2206"/>
      <c r="LAF7" s="2206"/>
      <c r="LAG7" s="2206"/>
      <c r="LAH7" s="2206"/>
      <c r="LAI7" s="2206"/>
      <c r="LAJ7" s="2206"/>
      <c r="LAK7" s="2206"/>
      <c r="LAL7" s="2206"/>
      <c r="LAM7" s="2206"/>
      <c r="LAN7" s="2206"/>
      <c r="LAO7" s="2206"/>
      <c r="LAP7" s="2206"/>
      <c r="LAQ7" s="2206"/>
      <c r="LAR7" s="2206"/>
      <c r="LAS7" s="2206"/>
      <c r="LAT7" s="2206"/>
      <c r="LAU7" s="2206"/>
      <c r="LAV7" s="2206"/>
      <c r="LAW7" s="2206"/>
      <c r="LAX7" s="2206"/>
      <c r="LAY7" s="2206"/>
      <c r="LAZ7" s="2206"/>
      <c r="LBA7" s="2206"/>
      <c r="LBB7" s="2206"/>
      <c r="LBC7" s="2206"/>
      <c r="LBD7" s="2206"/>
      <c r="LBE7" s="2206"/>
      <c r="LBF7" s="2206"/>
      <c r="LBG7" s="2206"/>
      <c r="LBH7" s="2206"/>
      <c r="LBI7" s="2206"/>
      <c r="LBJ7" s="2206"/>
      <c r="LBK7" s="2206"/>
      <c r="LBL7" s="2206"/>
      <c r="LBM7" s="2206"/>
      <c r="LBN7" s="2206"/>
      <c r="LBO7" s="2206"/>
      <c r="LBP7" s="2206"/>
      <c r="LBQ7" s="2206"/>
      <c r="LBR7" s="2206"/>
      <c r="LBS7" s="2206"/>
      <c r="LBT7" s="2206"/>
      <c r="LBU7" s="2206"/>
      <c r="LBV7" s="2206"/>
      <c r="LBW7" s="2206"/>
      <c r="LBX7" s="2206"/>
      <c r="LBY7" s="2206"/>
      <c r="LBZ7" s="2206"/>
      <c r="LCA7" s="2206"/>
      <c r="LCB7" s="2206"/>
      <c r="LCC7" s="2206"/>
      <c r="LCD7" s="2206"/>
      <c r="LCE7" s="2206"/>
      <c r="LCF7" s="2206"/>
      <c r="LCG7" s="2206"/>
      <c r="LCH7" s="2206"/>
      <c r="LCI7" s="2206"/>
      <c r="LCJ7" s="2206"/>
      <c r="LCK7" s="2206"/>
      <c r="LCL7" s="2206"/>
      <c r="LCM7" s="2206"/>
      <c r="LCN7" s="2206"/>
      <c r="LCO7" s="2206"/>
      <c r="LCP7" s="2206"/>
      <c r="LCQ7" s="2206"/>
      <c r="LCR7" s="2206"/>
      <c r="LCS7" s="2206"/>
      <c r="LCT7" s="2206"/>
      <c r="LCU7" s="2206"/>
      <c r="LCV7" s="2206"/>
      <c r="LCW7" s="2206"/>
      <c r="LCX7" s="2206"/>
      <c r="LCY7" s="2206"/>
      <c r="LCZ7" s="2206"/>
      <c r="LDA7" s="2206"/>
      <c r="LDB7" s="2206"/>
      <c r="LDC7" s="2206"/>
      <c r="LDD7" s="2206"/>
      <c r="LDE7" s="2206"/>
      <c r="LDF7" s="2206"/>
      <c r="LDG7" s="2206"/>
      <c r="LDH7" s="2206"/>
      <c r="LDI7" s="2206"/>
      <c r="LDJ7" s="2206"/>
      <c r="LDK7" s="2206"/>
      <c r="LDL7" s="2206"/>
      <c r="LDM7" s="2206"/>
      <c r="LDN7" s="2206"/>
      <c r="LDO7" s="2206"/>
      <c r="LDP7" s="2206"/>
      <c r="LDQ7" s="2206"/>
      <c r="LDR7" s="2206"/>
      <c r="LDS7" s="2206"/>
      <c r="LDT7" s="2206"/>
      <c r="LDU7" s="2206"/>
      <c r="LDV7" s="2206"/>
      <c r="LDW7" s="2206"/>
      <c r="LDX7" s="2206"/>
      <c r="LDY7" s="2206"/>
      <c r="LDZ7" s="2206"/>
      <c r="LEA7" s="2206"/>
      <c r="LEB7" s="2206"/>
      <c r="LEC7" s="2206"/>
      <c r="LED7" s="2206"/>
      <c r="LEE7" s="2206"/>
      <c r="LEF7" s="2206"/>
      <c r="LEG7" s="2206"/>
      <c r="LEH7" s="2206"/>
      <c r="LEI7" s="2206"/>
      <c r="LEJ7" s="2206"/>
      <c r="LEK7" s="2206"/>
      <c r="LEL7" s="2206"/>
      <c r="LEM7" s="2206"/>
      <c r="LEN7" s="2206"/>
      <c r="LEO7" s="2206"/>
      <c r="LEP7" s="2206"/>
      <c r="LEQ7" s="2206"/>
      <c r="LER7" s="2206"/>
      <c r="LES7" s="2206"/>
      <c r="LET7" s="2206"/>
      <c r="LEU7" s="2206"/>
      <c r="LEV7" s="2206"/>
      <c r="LEW7" s="2206"/>
      <c r="LEX7" s="2206"/>
      <c r="LEY7" s="2206"/>
      <c r="LEZ7" s="2206"/>
      <c r="LFA7" s="2206"/>
      <c r="LFB7" s="2206"/>
      <c r="LFC7" s="2206"/>
      <c r="LFD7" s="2206"/>
      <c r="LFE7" s="2206"/>
      <c r="LFF7" s="2206"/>
      <c r="LFG7" s="2206"/>
      <c r="LFH7" s="2206"/>
      <c r="LFI7" s="2206"/>
      <c r="LFJ7" s="2206"/>
      <c r="LFK7" s="2206"/>
      <c r="LFL7" s="2206"/>
      <c r="LFM7" s="2206"/>
      <c r="LFN7" s="2206"/>
      <c r="LFO7" s="2206"/>
      <c r="LFP7" s="2206"/>
      <c r="LFQ7" s="2206"/>
      <c r="LFR7" s="2206"/>
      <c r="LFS7" s="2206"/>
      <c r="LFT7" s="2206"/>
      <c r="LFU7" s="2206"/>
      <c r="LFV7" s="2206"/>
      <c r="LFW7" s="2206"/>
      <c r="LFX7" s="2206"/>
      <c r="LFY7" s="2206"/>
      <c r="LFZ7" s="2206"/>
      <c r="LGA7" s="2206"/>
      <c r="LGB7" s="2206"/>
      <c r="LGC7" s="2206"/>
      <c r="LGD7" s="2206"/>
      <c r="LGE7" s="2206"/>
      <c r="LGF7" s="2206"/>
      <c r="LGG7" s="2206"/>
      <c r="LGH7" s="2206"/>
      <c r="LGI7" s="2206"/>
      <c r="LGJ7" s="2206"/>
      <c r="LGK7" s="2206"/>
      <c r="LGL7" s="2206"/>
      <c r="LGM7" s="2206"/>
      <c r="LGN7" s="2206"/>
      <c r="LGO7" s="2206"/>
      <c r="LGP7" s="2206"/>
      <c r="LGQ7" s="2206"/>
      <c r="LGR7" s="2206"/>
      <c r="LGS7" s="2206"/>
      <c r="LGT7" s="2206"/>
      <c r="LGU7" s="2206"/>
      <c r="LGV7" s="2206"/>
      <c r="LGW7" s="2206"/>
      <c r="LGX7" s="2206"/>
      <c r="LGY7" s="2206"/>
      <c r="LGZ7" s="2206"/>
      <c r="LHA7" s="2206"/>
      <c r="LHB7" s="2206"/>
      <c r="LHC7" s="2206"/>
      <c r="LHD7" s="2206"/>
      <c r="LHE7" s="2206"/>
      <c r="LHF7" s="2206"/>
      <c r="LHG7" s="2206"/>
      <c r="LHH7" s="2206"/>
      <c r="LHI7" s="2206"/>
      <c r="LHJ7" s="2206"/>
      <c r="LHK7" s="2206"/>
      <c r="LHL7" s="2206"/>
      <c r="LHM7" s="2206"/>
      <c r="LHN7" s="2206"/>
      <c r="LHO7" s="2206"/>
      <c r="LHP7" s="2206"/>
      <c r="LHQ7" s="2206"/>
      <c r="LHR7" s="2206"/>
      <c r="LHS7" s="2206"/>
      <c r="LHT7" s="2206"/>
      <c r="LHU7" s="2206"/>
      <c r="LHV7" s="2206"/>
      <c r="LHW7" s="2206"/>
      <c r="LHX7" s="2206"/>
      <c r="LHY7" s="2206"/>
      <c r="LHZ7" s="2206"/>
      <c r="LIA7" s="2206"/>
      <c r="LIB7" s="2206"/>
      <c r="LIC7" s="2206"/>
      <c r="LID7" s="2206"/>
      <c r="LIE7" s="2206"/>
      <c r="LIF7" s="2206"/>
      <c r="LIG7" s="2206"/>
      <c r="LIH7" s="2206"/>
      <c r="LII7" s="2206"/>
      <c r="LIJ7" s="2206"/>
      <c r="LIK7" s="2206"/>
      <c r="LIL7" s="2206"/>
      <c r="LIM7" s="2206"/>
      <c r="LIN7" s="2206"/>
      <c r="LIO7" s="2206"/>
      <c r="LIP7" s="2206"/>
      <c r="LIQ7" s="2206"/>
      <c r="LIR7" s="2206"/>
      <c r="LIS7" s="2206"/>
      <c r="LIT7" s="2206"/>
      <c r="LIU7" s="2206"/>
      <c r="LIV7" s="2206"/>
      <c r="LIW7" s="2206"/>
      <c r="LIX7" s="2206"/>
      <c r="LIY7" s="2206"/>
      <c r="LIZ7" s="2206"/>
      <c r="LJA7" s="2206"/>
      <c r="LJB7" s="2206"/>
      <c r="LJC7" s="2206"/>
      <c r="LJD7" s="2206"/>
      <c r="LJE7" s="2206"/>
      <c r="LJF7" s="2206"/>
      <c r="LJG7" s="2206"/>
      <c r="LJH7" s="2206"/>
      <c r="LJI7" s="2206"/>
      <c r="LJJ7" s="2206"/>
      <c r="LJK7" s="2206"/>
      <c r="LJL7" s="2206"/>
      <c r="LJM7" s="2206"/>
      <c r="LJN7" s="2206"/>
      <c r="LJO7" s="2206"/>
      <c r="LJP7" s="2206"/>
      <c r="LJQ7" s="2206"/>
      <c r="LJR7" s="2206"/>
      <c r="LJS7" s="2206"/>
      <c r="LJT7" s="2206"/>
      <c r="LJU7" s="2206"/>
      <c r="LJV7" s="2206"/>
      <c r="LJW7" s="2206"/>
      <c r="LJX7" s="2206"/>
      <c r="LJY7" s="2206"/>
      <c r="LJZ7" s="2206"/>
      <c r="LKA7" s="2206"/>
      <c r="LKB7" s="2206"/>
      <c r="LKC7" s="2206"/>
      <c r="LKD7" s="2206"/>
      <c r="LKE7" s="2206"/>
      <c r="LKF7" s="2206"/>
      <c r="LKG7" s="2206"/>
      <c r="LKH7" s="2206"/>
      <c r="LKI7" s="2206"/>
      <c r="LKJ7" s="2206"/>
      <c r="LKK7" s="2206"/>
      <c r="LKL7" s="2206"/>
      <c r="LKM7" s="2206"/>
      <c r="LKN7" s="2206"/>
      <c r="LKO7" s="2206"/>
      <c r="LKP7" s="2206"/>
      <c r="LKQ7" s="2206"/>
      <c r="LKR7" s="2206"/>
      <c r="LKS7" s="2206"/>
      <c r="LKT7" s="2206"/>
      <c r="LKU7" s="2206"/>
      <c r="LKV7" s="2206"/>
      <c r="LKW7" s="2206"/>
      <c r="LKX7" s="2206"/>
      <c r="LKY7" s="2206"/>
      <c r="LKZ7" s="2206"/>
      <c r="LLA7" s="2206"/>
      <c r="LLB7" s="2206"/>
      <c r="LLC7" s="2206"/>
      <c r="LLD7" s="2206"/>
      <c r="LLE7" s="2206"/>
      <c r="LLF7" s="2206"/>
      <c r="LLG7" s="2206"/>
      <c r="LLH7" s="2206"/>
      <c r="LLI7" s="2206"/>
      <c r="LLJ7" s="2206"/>
      <c r="LLK7" s="2206"/>
      <c r="LLL7" s="2206"/>
      <c r="LLM7" s="2206"/>
      <c r="LLN7" s="2206"/>
      <c r="LLO7" s="2206"/>
      <c r="LLP7" s="2206"/>
      <c r="LLQ7" s="2206"/>
      <c r="LLR7" s="2206"/>
      <c r="LLS7" s="2206"/>
      <c r="LLT7" s="2206"/>
      <c r="LLU7" s="2206"/>
      <c r="LLV7" s="2206"/>
      <c r="LLW7" s="2206"/>
      <c r="LLX7" s="2206"/>
      <c r="LLY7" s="2206"/>
      <c r="LLZ7" s="2206"/>
      <c r="LMA7" s="2206"/>
      <c r="LMB7" s="2206"/>
      <c r="LMC7" s="2206"/>
      <c r="LMD7" s="2206"/>
      <c r="LME7" s="2206"/>
      <c r="LMF7" s="2206"/>
      <c r="LMG7" s="2206"/>
      <c r="LMH7" s="2206"/>
      <c r="LMI7" s="2206"/>
      <c r="LMJ7" s="2206"/>
      <c r="LMK7" s="2206"/>
      <c r="LML7" s="2206"/>
      <c r="LMM7" s="2206"/>
      <c r="LMN7" s="2206"/>
      <c r="LMO7" s="2206"/>
      <c r="LMP7" s="2206"/>
      <c r="LMQ7" s="2206"/>
      <c r="LMR7" s="2206"/>
      <c r="LMS7" s="2206"/>
      <c r="LMT7" s="2206"/>
      <c r="LMU7" s="2206"/>
      <c r="LMV7" s="2206"/>
      <c r="LMW7" s="2206"/>
      <c r="LMX7" s="2206"/>
      <c r="LMY7" s="2206"/>
      <c r="LMZ7" s="2206"/>
      <c r="LNA7" s="2206"/>
      <c r="LNB7" s="2206"/>
      <c r="LNC7" s="2206"/>
      <c r="LND7" s="2206"/>
      <c r="LNE7" s="2206"/>
      <c r="LNF7" s="2206"/>
      <c r="LNG7" s="2206"/>
      <c r="LNH7" s="2206"/>
      <c r="LNI7" s="2206"/>
      <c r="LNJ7" s="2206"/>
      <c r="LNK7" s="2206"/>
      <c r="LNL7" s="2206"/>
      <c r="LNM7" s="2206"/>
      <c r="LNN7" s="2206"/>
      <c r="LNO7" s="2206"/>
      <c r="LNP7" s="2206"/>
      <c r="LNQ7" s="2206"/>
      <c r="LNR7" s="2206"/>
      <c r="LNS7" s="2206"/>
      <c r="LNT7" s="2206"/>
      <c r="LNU7" s="2206"/>
      <c r="LNV7" s="2206"/>
      <c r="LNW7" s="2206"/>
      <c r="LNX7" s="2206"/>
      <c r="LNY7" s="2206"/>
      <c r="LNZ7" s="2206"/>
      <c r="LOA7" s="2206"/>
      <c r="LOB7" s="2206"/>
      <c r="LOC7" s="2206"/>
      <c r="LOD7" s="2206"/>
      <c r="LOE7" s="2206"/>
      <c r="LOF7" s="2206"/>
      <c r="LOG7" s="2206"/>
      <c r="LOH7" s="2206"/>
      <c r="LOI7" s="2206"/>
      <c r="LOJ7" s="2206"/>
      <c r="LOK7" s="2206"/>
      <c r="LOL7" s="2206"/>
      <c r="LOM7" s="2206"/>
      <c r="LON7" s="2206"/>
      <c r="LOO7" s="2206"/>
      <c r="LOP7" s="2206"/>
      <c r="LOQ7" s="2206"/>
      <c r="LOR7" s="2206"/>
      <c r="LOS7" s="2206"/>
      <c r="LOT7" s="2206"/>
      <c r="LOU7" s="2206"/>
      <c r="LOV7" s="2206"/>
      <c r="LOW7" s="2206"/>
      <c r="LOX7" s="2206"/>
      <c r="LOY7" s="2206"/>
      <c r="LOZ7" s="2206"/>
      <c r="LPA7" s="2206"/>
      <c r="LPB7" s="2206"/>
      <c r="LPC7" s="2206"/>
      <c r="LPD7" s="2206"/>
      <c r="LPE7" s="2206"/>
      <c r="LPF7" s="2206"/>
      <c r="LPG7" s="2206"/>
      <c r="LPH7" s="2206"/>
      <c r="LPI7" s="2206"/>
      <c r="LPJ7" s="2206"/>
      <c r="LPK7" s="2206"/>
      <c r="LPL7" s="2206"/>
      <c r="LPM7" s="2206"/>
      <c r="LPN7" s="2206"/>
      <c r="LPO7" s="2206"/>
      <c r="LPP7" s="2206"/>
      <c r="LPQ7" s="2206"/>
      <c r="LPR7" s="2206"/>
      <c r="LPS7" s="2206"/>
      <c r="LPT7" s="2206"/>
      <c r="LPU7" s="2206"/>
      <c r="LPV7" s="2206"/>
      <c r="LPW7" s="2206"/>
      <c r="LPX7" s="2206"/>
      <c r="LPY7" s="2206"/>
      <c r="LPZ7" s="2206"/>
      <c r="LQA7" s="2206"/>
      <c r="LQB7" s="2206"/>
      <c r="LQC7" s="2206"/>
      <c r="LQD7" s="2206"/>
      <c r="LQE7" s="2206"/>
      <c r="LQF7" s="2206"/>
      <c r="LQG7" s="2206"/>
      <c r="LQH7" s="2206"/>
      <c r="LQI7" s="2206"/>
      <c r="LQJ7" s="2206"/>
      <c r="LQK7" s="2206"/>
      <c r="LQL7" s="2206"/>
      <c r="LQM7" s="2206"/>
      <c r="LQN7" s="2206"/>
      <c r="LQO7" s="2206"/>
      <c r="LQP7" s="2206"/>
      <c r="LQQ7" s="2206"/>
      <c r="LQR7" s="2206"/>
      <c r="LQS7" s="2206"/>
      <c r="LQT7" s="2206"/>
      <c r="LQU7" s="2206"/>
      <c r="LQV7" s="2206"/>
      <c r="LQW7" s="2206"/>
      <c r="LQX7" s="2206"/>
      <c r="LQY7" s="2206"/>
      <c r="LQZ7" s="2206"/>
      <c r="LRA7" s="2206"/>
      <c r="LRB7" s="2206"/>
      <c r="LRC7" s="2206"/>
      <c r="LRD7" s="2206"/>
      <c r="LRE7" s="2206"/>
      <c r="LRF7" s="2206"/>
      <c r="LRG7" s="2206"/>
      <c r="LRH7" s="2206"/>
      <c r="LRI7" s="2206"/>
      <c r="LRJ7" s="2206"/>
      <c r="LRK7" s="2206"/>
      <c r="LRL7" s="2206"/>
      <c r="LRM7" s="2206"/>
      <c r="LRN7" s="2206"/>
      <c r="LRO7" s="2206"/>
      <c r="LRP7" s="2206"/>
      <c r="LRQ7" s="2206"/>
      <c r="LRR7" s="2206"/>
      <c r="LRS7" s="2206"/>
      <c r="LRT7" s="2206"/>
      <c r="LRU7" s="2206"/>
      <c r="LRV7" s="2206"/>
      <c r="LRW7" s="2206"/>
      <c r="LRX7" s="2206"/>
      <c r="LRY7" s="2206"/>
      <c r="LRZ7" s="2206"/>
      <c r="LSA7" s="2206"/>
      <c r="LSB7" s="2206"/>
      <c r="LSC7" s="2206"/>
      <c r="LSD7" s="2206"/>
      <c r="LSE7" s="2206"/>
      <c r="LSF7" s="2206"/>
      <c r="LSG7" s="2206"/>
      <c r="LSH7" s="2206"/>
      <c r="LSI7" s="2206"/>
      <c r="LSJ7" s="2206"/>
      <c r="LSK7" s="2206"/>
      <c r="LSL7" s="2206"/>
      <c r="LSM7" s="2206"/>
      <c r="LSN7" s="2206"/>
      <c r="LSO7" s="2206"/>
      <c r="LSP7" s="2206"/>
      <c r="LSQ7" s="2206"/>
      <c r="LSR7" s="2206"/>
      <c r="LSS7" s="2206"/>
      <c r="LST7" s="2206"/>
      <c r="LSU7" s="2206"/>
      <c r="LSV7" s="2206"/>
      <c r="LSW7" s="2206"/>
      <c r="LSX7" s="2206"/>
      <c r="LSY7" s="2206"/>
      <c r="LSZ7" s="2206"/>
      <c r="LTA7" s="2206"/>
      <c r="LTB7" s="2206"/>
      <c r="LTC7" s="2206"/>
      <c r="LTD7" s="2206"/>
      <c r="LTE7" s="2206"/>
      <c r="LTF7" s="2206"/>
      <c r="LTG7" s="2206"/>
      <c r="LTH7" s="2206"/>
      <c r="LTI7" s="2206"/>
      <c r="LTJ7" s="2206"/>
      <c r="LTK7" s="2206"/>
      <c r="LTL7" s="2206"/>
      <c r="LTM7" s="2206"/>
      <c r="LTN7" s="2206"/>
      <c r="LTO7" s="2206"/>
      <c r="LTP7" s="2206"/>
      <c r="LTQ7" s="2206"/>
      <c r="LTR7" s="2206"/>
      <c r="LTS7" s="2206"/>
      <c r="LTT7" s="2206"/>
      <c r="LTU7" s="2206"/>
      <c r="LTV7" s="2206"/>
      <c r="LTW7" s="2206"/>
      <c r="LTX7" s="2206"/>
      <c r="LTY7" s="2206"/>
      <c r="LTZ7" s="2206"/>
      <c r="LUA7" s="2206"/>
      <c r="LUB7" s="2206"/>
      <c r="LUC7" s="2206"/>
      <c r="LUD7" s="2206"/>
      <c r="LUE7" s="2206"/>
      <c r="LUF7" s="2206"/>
      <c r="LUG7" s="2206"/>
      <c r="LUH7" s="2206"/>
      <c r="LUI7" s="2206"/>
      <c r="LUJ7" s="2206"/>
      <c r="LUK7" s="2206"/>
      <c r="LUL7" s="2206"/>
      <c r="LUM7" s="2206"/>
      <c r="LUN7" s="2206"/>
      <c r="LUO7" s="2206"/>
      <c r="LUP7" s="2206"/>
      <c r="LUQ7" s="2206"/>
      <c r="LUR7" s="2206"/>
      <c r="LUS7" s="2206"/>
      <c r="LUT7" s="2206"/>
      <c r="LUU7" s="2206"/>
      <c r="LUV7" s="2206"/>
      <c r="LUW7" s="2206"/>
      <c r="LUX7" s="2206"/>
      <c r="LUY7" s="2206"/>
      <c r="LUZ7" s="2206"/>
      <c r="LVA7" s="2206"/>
      <c r="LVB7" s="2206"/>
      <c r="LVC7" s="2206"/>
      <c r="LVD7" s="2206"/>
      <c r="LVE7" s="2206"/>
      <c r="LVF7" s="2206"/>
      <c r="LVG7" s="2206"/>
      <c r="LVH7" s="2206"/>
      <c r="LVI7" s="2206"/>
      <c r="LVJ7" s="2206"/>
      <c r="LVK7" s="2206"/>
      <c r="LVL7" s="2206"/>
      <c r="LVM7" s="2206"/>
      <c r="LVN7" s="2206"/>
      <c r="LVO7" s="2206"/>
      <c r="LVP7" s="2206"/>
      <c r="LVQ7" s="2206"/>
      <c r="LVR7" s="2206"/>
      <c r="LVS7" s="2206"/>
      <c r="LVT7" s="2206"/>
      <c r="LVU7" s="2206"/>
      <c r="LVV7" s="2206"/>
      <c r="LVW7" s="2206"/>
      <c r="LVX7" s="2206"/>
      <c r="LVY7" s="2206"/>
      <c r="LVZ7" s="2206"/>
      <c r="LWA7" s="2206"/>
      <c r="LWB7" s="2206"/>
      <c r="LWC7" s="2206"/>
      <c r="LWD7" s="2206"/>
      <c r="LWE7" s="2206"/>
      <c r="LWF7" s="2206"/>
      <c r="LWG7" s="2206"/>
      <c r="LWH7" s="2206"/>
      <c r="LWI7" s="2206"/>
      <c r="LWJ7" s="2206"/>
      <c r="LWK7" s="2206"/>
      <c r="LWL7" s="2206"/>
      <c r="LWM7" s="2206"/>
      <c r="LWN7" s="2206"/>
      <c r="LWO7" s="2206"/>
      <c r="LWP7" s="2206"/>
      <c r="LWQ7" s="2206"/>
      <c r="LWR7" s="2206"/>
      <c r="LWS7" s="2206"/>
      <c r="LWT7" s="2206"/>
      <c r="LWU7" s="2206"/>
      <c r="LWV7" s="2206"/>
      <c r="LWW7" s="2206"/>
      <c r="LWX7" s="2206"/>
      <c r="LWY7" s="2206"/>
      <c r="LWZ7" s="2206"/>
      <c r="LXA7" s="2206"/>
      <c r="LXB7" s="2206"/>
      <c r="LXC7" s="2206"/>
      <c r="LXD7" s="2206"/>
      <c r="LXE7" s="2206"/>
      <c r="LXF7" s="2206"/>
      <c r="LXG7" s="2206"/>
      <c r="LXH7" s="2206"/>
      <c r="LXI7" s="2206"/>
      <c r="LXJ7" s="2206"/>
      <c r="LXK7" s="2206"/>
      <c r="LXL7" s="2206"/>
      <c r="LXM7" s="2206"/>
      <c r="LXN7" s="2206"/>
      <c r="LXO7" s="2206"/>
      <c r="LXP7" s="2206"/>
      <c r="LXQ7" s="2206"/>
      <c r="LXR7" s="2206"/>
      <c r="LXS7" s="2206"/>
      <c r="LXT7" s="2206"/>
      <c r="LXU7" s="2206"/>
      <c r="LXV7" s="2206"/>
      <c r="LXW7" s="2206"/>
      <c r="LXX7" s="2206"/>
      <c r="LXY7" s="2206"/>
      <c r="LXZ7" s="2206"/>
      <c r="LYA7" s="2206"/>
      <c r="LYB7" s="2206"/>
      <c r="LYC7" s="2206"/>
      <c r="LYD7" s="2206"/>
      <c r="LYE7" s="2206"/>
      <c r="LYF7" s="2206"/>
      <c r="LYG7" s="2206"/>
      <c r="LYH7" s="2206"/>
      <c r="LYI7" s="2206"/>
      <c r="LYJ7" s="2206"/>
      <c r="LYK7" s="2206"/>
      <c r="LYL7" s="2206"/>
      <c r="LYM7" s="2206"/>
      <c r="LYN7" s="2206"/>
      <c r="LYO7" s="2206"/>
      <c r="LYP7" s="2206"/>
      <c r="LYQ7" s="2206"/>
      <c r="LYR7" s="2206"/>
      <c r="LYS7" s="2206"/>
      <c r="LYT7" s="2206"/>
      <c r="LYU7" s="2206"/>
      <c r="LYV7" s="2206"/>
      <c r="LYW7" s="2206"/>
      <c r="LYX7" s="2206"/>
      <c r="LYY7" s="2206"/>
      <c r="LYZ7" s="2206"/>
      <c r="LZA7" s="2206"/>
      <c r="LZB7" s="2206"/>
      <c r="LZC7" s="2206"/>
      <c r="LZD7" s="2206"/>
      <c r="LZE7" s="2206"/>
      <c r="LZF7" s="2206"/>
      <c r="LZG7" s="2206"/>
      <c r="LZH7" s="2206"/>
      <c r="LZI7" s="2206"/>
      <c r="LZJ7" s="2206"/>
      <c r="LZK7" s="2206"/>
      <c r="LZL7" s="2206"/>
      <c r="LZM7" s="2206"/>
      <c r="LZN7" s="2206"/>
      <c r="LZO7" s="2206"/>
      <c r="LZP7" s="2206"/>
      <c r="LZQ7" s="2206"/>
      <c r="LZR7" s="2206"/>
      <c r="LZS7" s="2206"/>
      <c r="LZT7" s="2206"/>
      <c r="LZU7" s="2206"/>
      <c r="LZV7" s="2206"/>
      <c r="LZW7" s="2206"/>
      <c r="LZX7" s="2206"/>
      <c r="LZY7" s="2206"/>
      <c r="LZZ7" s="2206"/>
      <c r="MAA7" s="2206"/>
      <c r="MAB7" s="2206"/>
      <c r="MAC7" s="2206"/>
      <c r="MAD7" s="2206"/>
      <c r="MAE7" s="2206"/>
      <c r="MAF7" s="2206"/>
      <c r="MAG7" s="2206"/>
      <c r="MAH7" s="2206"/>
      <c r="MAI7" s="2206"/>
      <c r="MAJ7" s="2206"/>
      <c r="MAK7" s="2206"/>
      <c r="MAL7" s="2206"/>
      <c r="MAM7" s="2206"/>
      <c r="MAN7" s="2206"/>
      <c r="MAO7" s="2206"/>
      <c r="MAP7" s="2206"/>
      <c r="MAQ7" s="2206"/>
      <c r="MAR7" s="2206"/>
      <c r="MAS7" s="2206"/>
      <c r="MAT7" s="2206"/>
      <c r="MAU7" s="2206"/>
      <c r="MAV7" s="2206"/>
      <c r="MAW7" s="2206"/>
      <c r="MAX7" s="2206"/>
      <c r="MAY7" s="2206"/>
      <c r="MAZ7" s="2206"/>
      <c r="MBA7" s="2206"/>
      <c r="MBB7" s="2206"/>
      <c r="MBC7" s="2206"/>
      <c r="MBD7" s="2206"/>
      <c r="MBE7" s="2206"/>
      <c r="MBF7" s="2206"/>
      <c r="MBG7" s="2206"/>
      <c r="MBH7" s="2206"/>
      <c r="MBI7" s="2206"/>
      <c r="MBJ7" s="2206"/>
      <c r="MBK7" s="2206"/>
      <c r="MBL7" s="2206"/>
      <c r="MBM7" s="2206"/>
      <c r="MBN7" s="2206"/>
      <c r="MBO7" s="2206"/>
      <c r="MBP7" s="2206"/>
      <c r="MBQ7" s="2206"/>
      <c r="MBR7" s="2206"/>
      <c r="MBS7" s="2206"/>
      <c r="MBT7" s="2206"/>
      <c r="MBU7" s="2206"/>
      <c r="MBV7" s="2206"/>
      <c r="MBW7" s="2206"/>
      <c r="MBX7" s="2206"/>
      <c r="MBY7" s="2206"/>
      <c r="MBZ7" s="2206"/>
      <c r="MCA7" s="2206"/>
      <c r="MCB7" s="2206"/>
      <c r="MCC7" s="2206"/>
      <c r="MCD7" s="2206"/>
      <c r="MCE7" s="2206"/>
      <c r="MCF7" s="2206"/>
      <c r="MCG7" s="2206"/>
      <c r="MCH7" s="2206"/>
      <c r="MCI7" s="2206"/>
      <c r="MCJ7" s="2206"/>
      <c r="MCK7" s="2206"/>
      <c r="MCL7" s="2206"/>
      <c r="MCM7" s="2206"/>
      <c r="MCN7" s="2206"/>
      <c r="MCO7" s="2206"/>
      <c r="MCP7" s="2206"/>
      <c r="MCQ7" s="2206"/>
      <c r="MCR7" s="2206"/>
      <c r="MCS7" s="2206"/>
      <c r="MCT7" s="2206"/>
      <c r="MCU7" s="2206"/>
      <c r="MCV7" s="2206"/>
      <c r="MCW7" s="2206"/>
      <c r="MCX7" s="2206"/>
      <c r="MCY7" s="2206"/>
      <c r="MCZ7" s="2206"/>
      <c r="MDA7" s="2206"/>
      <c r="MDB7" s="2206"/>
      <c r="MDC7" s="2206"/>
      <c r="MDD7" s="2206"/>
      <c r="MDE7" s="2206"/>
      <c r="MDF7" s="2206"/>
      <c r="MDG7" s="2206"/>
      <c r="MDH7" s="2206"/>
      <c r="MDI7" s="2206"/>
      <c r="MDJ7" s="2206"/>
      <c r="MDK7" s="2206"/>
      <c r="MDL7" s="2206"/>
      <c r="MDM7" s="2206"/>
      <c r="MDN7" s="2206"/>
      <c r="MDO7" s="2206"/>
      <c r="MDP7" s="2206"/>
      <c r="MDQ7" s="2206"/>
      <c r="MDR7" s="2206"/>
      <c r="MDS7" s="2206"/>
      <c r="MDT7" s="2206"/>
      <c r="MDU7" s="2206"/>
      <c r="MDV7" s="2206"/>
      <c r="MDW7" s="2206"/>
      <c r="MDX7" s="2206"/>
      <c r="MDY7" s="2206"/>
      <c r="MDZ7" s="2206"/>
      <c r="MEA7" s="2206"/>
      <c r="MEB7" s="2206"/>
      <c r="MEC7" s="2206"/>
      <c r="MED7" s="2206"/>
      <c r="MEE7" s="2206"/>
      <c r="MEF7" s="2206"/>
      <c r="MEG7" s="2206"/>
      <c r="MEH7" s="2206"/>
      <c r="MEI7" s="2206"/>
      <c r="MEJ7" s="2206"/>
      <c r="MEK7" s="2206"/>
      <c r="MEL7" s="2206"/>
      <c r="MEM7" s="2206"/>
      <c r="MEN7" s="2206"/>
      <c r="MEO7" s="2206"/>
      <c r="MEP7" s="2206"/>
      <c r="MEQ7" s="2206"/>
      <c r="MER7" s="2206"/>
      <c r="MES7" s="2206"/>
      <c r="MET7" s="2206"/>
      <c r="MEU7" s="2206"/>
      <c r="MEV7" s="2206"/>
      <c r="MEW7" s="2206"/>
      <c r="MEX7" s="2206"/>
      <c r="MEY7" s="2206"/>
      <c r="MEZ7" s="2206"/>
      <c r="MFA7" s="2206"/>
      <c r="MFB7" s="2206"/>
      <c r="MFC7" s="2206"/>
      <c r="MFD7" s="2206"/>
      <c r="MFE7" s="2206"/>
      <c r="MFF7" s="2206"/>
      <c r="MFG7" s="2206"/>
      <c r="MFH7" s="2206"/>
      <c r="MFI7" s="2206"/>
      <c r="MFJ7" s="2206"/>
      <c r="MFK7" s="2206"/>
      <c r="MFL7" s="2206"/>
      <c r="MFM7" s="2206"/>
      <c r="MFN7" s="2206"/>
      <c r="MFO7" s="2206"/>
      <c r="MFP7" s="2206"/>
      <c r="MFQ7" s="2206"/>
      <c r="MFR7" s="2206"/>
      <c r="MFS7" s="2206"/>
      <c r="MFT7" s="2206"/>
      <c r="MFU7" s="2206"/>
      <c r="MFV7" s="2206"/>
      <c r="MFW7" s="2206"/>
      <c r="MFX7" s="2206"/>
      <c r="MFY7" s="2206"/>
      <c r="MFZ7" s="2206"/>
      <c r="MGA7" s="2206"/>
      <c r="MGB7" s="2206"/>
      <c r="MGC7" s="2206"/>
      <c r="MGD7" s="2206"/>
      <c r="MGE7" s="2206"/>
      <c r="MGF7" s="2206"/>
      <c r="MGG7" s="2206"/>
      <c r="MGH7" s="2206"/>
      <c r="MGI7" s="2206"/>
      <c r="MGJ7" s="2206"/>
      <c r="MGK7" s="2206"/>
      <c r="MGL7" s="2206"/>
      <c r="MGM7" s="2206"/>
      <c r="MGN7" s="2206"/>
      <c r="MGO7" s="2206"/>
      <c r="MGP7" s="2206"/>
      <c r="MGQ7" s="2206"/>
      <c r="MGR7" s="2206"/>
      <c r="MGS7" s="2206"/>
      <c r="MGT7" s="2206"/>
      <c r="MGU7" s="2206"/>
      <c r="MGV7" s="2206"/>
      <c r="MGW7" s="2206"/>
      <c r="MGX7" s="2206"/>
      <c r="MGY7" s="2206"/>
      <c r="MGZ7" s="2206"/>
      <c r="MHA7" s="2206"/>
      <c r="MHB7" s="2206"/>
      <c r="MHC7" s="2206"/>
      <c r="MHD7" s="2206"/>
      <c r="MHE7" s="2206"/>
      <c r="MHF7" s="2206"/>
      <c r="MHG7" s="2206"/>
      <c r="MHH7" s="2206"/>
      <c r="MHI7" s="2206"/>
      <c r="MHJ7" s="2206"/>
      <c r="MHK7" s="2206"/>
      <c r="MHL7" s="2206"/>
      <c r="MHM7" s="2206"/>
      <c r="MHN7" s="2206"/>
      <c r="MHO7" s="2206"/>
      <c r="MHP7" s="2206"/>
      <c r="MHQ7" s="2206"/>
      <c r="MHR7" s="2206"/>
      <c r="MHS7" s="2206"/>
      <c r="MHT7" s="2206"/>
      <c r="MHU7" s="2206"/>
      <c r="MHV7" s="2206"/>
      <c r="MHW7" s="2206"/>
      <c r="MHX7" s="2206"/>
      <c r="MHY7" s="2206"/>
      <c r="MHZ7" s="2206"/>
      <c r="MIA7" s="2206"/>
      <c r="MIB7" s="2206"/>
      <c r="MIC7" s="2206"/>
      <c r="MID7" s="2206"/>
      <c r="MIE7" s="2206"/>
      <c r="MIF7" s="2206"/>
      <c r="MIG7" s="2206"/>
      <c r="MIH7" s="2206"/>
      <c r="MII7" s="2206"/>
      <c r="MIJ7" s="2206"/>
      <c r="MIK7" s="2206"/>
      <c r="MIL7" s="2206"/>
      <c r="MIM7" s="2206"/>
      <c r="MIN7" s="2206"/>
      <c r="MIO7" s="2206"/>
      <c r="MIP7" s="2206"/>
      <c r="MIQ7" s="2206"/>
      <c r="MIR7" s="2206"/>
      <c r="MIS7" s="2206"/>
      <c r="MIT7" s="2206"/>
      <c r="MIU7" s="2206"/>
      <c r="MIV7" s="2206"/>
      <c r="MIW7" s="2206"/>
      <c r="MIX7" s="2206"/>
      <c r="MIY7" s="2206"/>
      <c r="MIZ7" s="2206"/>
      <c r="MJA7" s="2206"/>
      <c r="MJB7" s="2206"/>
      <c r="MJC7" s="2206"/>
      <c r="MJD7" s="2206"/>
      <c r="MJE7" s="2206"/>
      <c r="MJF7" s="2206"/>
      <c r="MJG7" s="2206"/>
      <c r="MJH7" s="2206"/>
      <c r="MJI7" s="2206"/>
      <c r="MJJ7" s="2206"/>
      <c r="MJK7" s="2206"/>
      <c r="MJL7" s="2206"/>
      <c r="MJM7" s="2206"/>
      <c r="MJN7" s="2206"/>
      <c r="MJO7" s="2206"/>
      <c r="MJP7" s="2206"/>
      <c r="MJQ7" s="2206"/>
      <c r="MJR7" s="2206"/>
      <c r="MJS7" s="2206"/>
      <c r="MJT7" s="2206"/>
      <c r="MJU7" s="2206"/>
      <c r="MJV7" s="2206"/>
      <c r="MJW7" s="2206"/>
      <c r="MJX7" s="2206"/>
      <c r="MJY7" s="2206"/>
      <c r="MJZ7" s="2206"/>
      <c r="MKA7" s="2206"/>
      <c r="MKB7" s="2206"/>
      <c r="MKC7" s="2206"/>
      <c r="MKD7" s="2206"/>
      <c r="MKE7" s="2206"/>
      <c r="MKF7" s="2206"/>
      <c r="MKG7" s="2206"/>
      <c r="MKH7" s="2206"/>
      <c r="MKI7" s="2206"/>
      <c r="MKJ7" s="2206"/>
      <c r="MKK7" s="2206"/>
      <c r="MKL7" s="2206"/>
      <c r="MKM7" s="2206"/>
      <c r="MKN7" s="2206"/>
      <c r="MKO7" s="2206"/>
      <c r="MKP7" s="2206"/>
      <c r="MKQ7" s="2206"/>
      <c r="MKR7" s="2206"/>
      <c r="MKS7" s="2206"/>
      <c r="MKT7" s="2206"/>
      <c r="MKU7" s="2206"/>
      <c r="MKV7" s="2206"/>
      <c r="MKW7" s="2206"/>
      <c r="MKX7" s="2206"/>
      <c r="MKY7" s="2206"/>
      <c r="MKZ7" s="2206"/>
      <c r="MLA7" s="2206"/>
      <c r="MLB7" s="2206"/>
      <c r="MLC7" s="2206"/>
      <c r="MLD7" s="2206"/>
      <c r="MLE7" s="2206"/>
      <c r="MLF7" s="2206"/>
      <c r="MLG7" s="2206"/>
      <c r="MLH7" s="2206"/>
      <c r="MLI7" s="2206"/>
      <c r="MLJ7" s="2206"/>
      <c r="MLK7" s="2206"/>
      <c r="MLL7" s="2206"/>
      <c r="MLM7" s="2206"/>
      <c r="MLN7" s="2206"/>
      <c r="MLO7" s="2206"/>
      <c r="MLP7" s="2206"/>
      <c r="MLQ7" s="2206"/>
      <c r="MLR7" s="2206"/>
      <c r="MLS7" s="2206"/>
      <c r="MLT7" s="2206"/>
      <c r="MLU7" s="2206"/>
      <c r="MLV7" s="2206"/>
      <c r="MLW7" s="2206"/>
      <c r="MLX7" s="2206"/>
      <c r="MLY7" s="2206"/>
      <c r="MLZ7" s="2206"/>
      <c r="MMA7" s="2206"/>
      <c r="MMB7" s="2206"/>
      <c r="MMC7" s="2206"/>
      <c r="MMD7" s="2206"/>
      <c r="MME7" s="2206"/>
      <c r="MMF7" s="2206"/>
      <c r="MMG7" s="2206"/>
      <c r="MMH7" s="2206"/>
      <c r="MMI7" s="2206"/>
      <c r="MMJ7" s="2206"/>
      <c r="MMK7" s="2206"/>
      <c r="MML7" s="2206"/>
      <c r="MMM7" s="2206"/>
      <c r="MMN7" s="2206"/>
      <c r="MMO7" s="2206"/>
      <c r="MMP7" s="2206"/>
      <c r="MMQ7" s="2206"/>
      <c r="MMR7" s="2206"/>
      <c r="MMS7" s="2206"/>
      <c r="MMT7" s="2206"/>
      <c r="MMU7" s="2206"/>
      <c r="MMV7" s="2206"/>
      <c r="MMW7" s="2206"/>
      <c r="MMX7" s="2206"/>
      <c r="MMY7" s="2206"/>
      <c r="MMZ7" s="2206"/>
      <c r="MNA7" s="2206"/>
      <c r="MNB7" s="2206"/>
      <c r="MNC7" s="2206"/>
      <c r="MND7" s="2206"/>
      <c r="MNE7" s="2206"/>
      <c r="MNF7" s="2206"/>
      <c r="MNG7" s="2206"/>
      <c r="MNH7" s="2206"/>
      <c r="MNI7" s="2206"/>
      <c r="MNJ7" s="2206"/>
      <c r="MNK7" s="2206"/>
      <c r="MNL7" s="2206"/>
      <c r="MNM7" s="2206"/>
      <c r="MNN7" s="2206"/>
      <c r="MNO7" s="2206"/>
      <c r="MNP7" s="2206"/>
      <c r="MNQ7" s="2206"/>
      <c r="MNR7" s="2206"/>
      <c r="MNS7" s="2206"/>
      <c r="MNT7" s="2206"/>
      <c r="MNU7" s="2206"/>
      <c r="MNV7" s="2206"/>
      <c r="MNW7" s="2206"/>
      <c r="MNX7" s="2206"/>
      <c r="MNY7" s="2206"/>
      <c r="MNZ7" s="2206"/>
      <c r="MOA7" s="2206"/>
      <c r="MOB7" s="2206"/>
      <c r="MOC7" s="2206"/>
      <c r="MOD7" s="2206"/>
      <c r="MOE7" s="2206"/>
      <c r="MOF7" s="2206"/>
      <c r="MOG7" s="2206"/>
      <c r="MOH7" s="2206"/>
      <c r="MOI7" s="2206"/>
      <c r="MOJ7" s="2206"/>
      <c r="MOK7" s="2206"/>
      <c r="MOL7" s="2206"/>
      <c r="MOM7" s="2206"/>
      <c r="MON7" s="2206"/>
      <c r="MOO7" s="2206"/>
      <c r="MOP7" s="2206"/>
      <c r="MOQ7" s="2206"/>
      <c r="MOR7" s="2206"/>
      <c r="MOS7" s="2206"/>
      <c r="MOT7" s="2206"/>
      <c r="MOU7" s="2206"/>
      <c r="MOV7" s="2206"/>
      <c r="MOW7" s="2206"/>
      <c r="MOX7" s="2206"/>
      <c r="MOY7" s="2206"/>
      <c r="MOZ7" s="2206"/>
      <c r="MPA7" s="2206"/>
      <c r="MPB7" s="2206"/>
      <c r="MPC7" s="2206"/>
      <c r="MPD7" s="2206"/>
      <c r="MPE7" s="2206"/>
      <c r="MPF7" s="2206"/>
      <c r="MPG7" s="2206"/>
      <c r="MPH7" s="2206"/>
      <c r="MPI7" s="2206"/>
      <c r="MPJ7" s="2206"/>
      <c r="MPK7" s="2206"/>
      <c r="MPL7" s="2206"/>
      <c r="MPM7" s="2206"/>
      <c r="MPN7" s="2206"/>
      <c r="MPO7" s="2206"/>
      <c r="MPP7" s="2206"/>
      <c r="MPQ7" s="2206"/>
      <c r="MPR7" s="2206"/>
      <c r="MPS7" s="2206"/>
      <c r="MPT7" s="2206"/>
      <c r="MPU7" s="2206"/>
      <c r="MPV7" s="2206"/>
      <c r="MPW7" s="2206"/>
      <c r="MPX7" s="2206"/>
      <c r="MPY7" s="2206"/>
      <c r="MPZ7" s="2206"/>
      <c r="MQA7" s="2206"/>
      <c r="MQB7" s="2206"/>
      <c r="MQC7" s="2206"/>
      <c r="MQD7" s="2206"/>
      <c r="MQE7" s="2206"/>
      <c r="MQF7" s="2206"/>
      <c r="MQG7" s="2206"/>
      <c r="MQH7" s="2206"/>
      <c r="MQI7" s="2206"/>
      <c r="MQJ7" s="2206"/>
      <c r="MQK7" s="2206"/>
      <c r="MQL7" s="2206"/>
      <c r="MQM7" s="2206"/>
      <c r="MQN7" s="2206"/>
      <c r="MQO7" s="2206"/>
      <c r="MQP7" s="2206"/>
      <c r="MQQ7" s="2206"/>
      <c r="MQR7" s="2206"/>
      <c r="MQS7" s="2206"/>
      <c r="MQT7" s="2206"/>
      <c r="MQU7" s="2206"/>
      <c r="MQV7" s="2206"/>
      <c r="MQW7" s="2206"/>
      <c r="MQX7" s="2206"/>
      <c r="MQY7" s="2206"/>
      <c r="MQZ7" s="2206"/>
      <c r="MRA7" s="2206"/>
      <c r="MRB7" s="2206"/>
      <c r="MRC7" s="2206"/>
      <c r="MRD7" s="2206"/>
      <c r="MRE7" s="2206"/>
      <c r="MRF7" s="2206"/>
      <c r="MRG7" s="2206"/>
      <c r="MRH7" s="2206"/>
      <c r="MRI7" s="2206"/>
      <c r="MRJ7" s="2206"/>
      <c r="MRK7" s="2206"/>
      <c r="MRL7" s="2206"/>
      <c r="MRM7" s="2206"/>
      <c r="MRN7" s="2206"/>
      <c r="MRO7" s="2206"/>
      <c r="MRP7" s="2206"/>
      <c r="MRQ7" s="2206"/>
      <c r="MRR7" s="2206"/>
      <c r="MRS7" s="2206"/>
      <c r="MRT7" s="2206"/>
      <c r="MRU7" s="2206"/>
      <c r="MRV7" s="2206"/>
      <c r="MRW7" s="2206"/>
      <c r="MRX7" s="2206"/>
      <c r="MRY7" s="2206"/>
      <c r="MRZ7" s="2206"/>
      <c r="MSA7" s="2206"/>
      <c r="MSB7" s="2206"/>
      <c r="MSC7" s="2206"/>
      <c r="MSD7" s="2206"/>
      <c r="MSE7" s="2206"/>
      <c r="MSF7" s="2206"/>
      <c r="MSG7" s="2206"/>
      <c r="MSH7" s="2206"/>
      <c r="MSI7" s="2206"/>
      <c r="MSJ7" s="2206"/>
      <c r="MSK7" s="2206"/>
      <c r="MSL7" s="2206"/>
      <c r="MSM7" s="2206"/>
      <c r="MSN7" s="2206"/>
      <c r="MSO7" s="2206"/>
      <c r="MSP7" s="2206"/>
      <c r="MSQ7" s="2206"/>
      <c r="MSR7" s="2206"/>
      <c r="MSS7" s="2206"/>
      <c r="MST7" s="2206"/>
      <c r="MSU7" s="2206"/>
      <c r="MSV7" s="2206"/>
      <c r="MSW7" s="2206"/>
      <c r="MSX7" s="2206"/>
      <c r="MSY7" s="2206"/>
      <c r="MSZ7" s="2206"/>
      <c r="MTA7" s="2206"/>
      <c r="MTB7" s="2206"/>
      <c r="MTC7" s="2206"/>
      <c r="MTD7" s="2206"/>
      <c r="MTE7" s="2206"/>
      <c r="MTF7" s="2206"/>
      <c r="MTG7" s="2206"/>
      <c r="MTH7" s="2206"/>
      <c r="MTI7" s="2206"/>
      <c r="MTJ7" s="2206"/>
      <c r="MTK7" s="2206"/>
      <c r="MTL7" s="2206"/>
      <c r="MTM7" s="2206"/>
      <c r="MTN7" s="2206"/>
      <c r="MTO7" s="2206"/>
      <c r="MTP7" s="2206"/>
      <c r="MTQ7" s="2206"/>
      <c r="MTR7" s="2206"/>
      <c r="MTS7" s="2206"/>
      <c r="MTT7" s="2206"/>
      <c r="MTU7" s="2206"/>
      <c r="MTV7" s="2206"/>
      <c r="MTW7" s="2206"/>
      <c r="MTX7" s="2206"/>
      <c r="MTY7" s="2206"/>
      <c r="MTZ7" s="2206"/>
      <c r="MUA7" s="2206"/>
      <c r="MUB7" s="2206"/>
      <c r="MUC7" s="2206"/>
      <c r="MUD7" s="2206"/>
      <c r="MUE7" s="2206"/>
      <c r="MUF7" s="2206"/>
      <c r="MUG7" s="2206"/>
      <c r="MUH7" s="2206"/>
      <c r="MUI7" s="2206"/>
      <c r="MUJ7" s="2206"/>
      <c r="MUK7" s="2206"/>
      <c r="MUL7" s="2206"/>
      <c r="MUM7" s="2206"/>
      <c r="MUN7" s="2206"/>
      <c r="MUO7" s="2206"/>
      <c r="MUP7" s="2206"/>
      <c r="MUQ7" s="2206"/>
      <c r="MUR7" s="2206"/>
      <c r="MUS7" s="2206"/>
      <c r="MUT7" s="2206"/>
      <c r="MUU7" s="2206"/>
      <c r="MUV7" s="2206"/>
      <c r="MUW7" s="2206"/>
      <c r="MUX7" s="2206"/>
      <c r="MUY7" s="2206"/>
      <c r="MUZ7" s="2206"/>
      <c r="MVA7" s="2206"/>
      <c r="MVB7" s="2206"/>
      <c r="MVC7" s="2206"/>
      <c r="MVD7" s="2206"/>
      <c r="MVE7" s="2206"/>
      <c r="MVF7" s="2206"/>
      <c r="MVG7" s="2206"/>
      <c r="MVH7" s="2206"/>
      <c r="MVI7" s="2206"/>
      <c r="MVJ7" s="2206"/>
      <c r="MVK7" s="2206"/>
      <c r="MVL7" s="2206"/>
      <c r="MVM7" s="2206"/>
      <c r="MVN7" s="2206"/>
      <c r="MVO7" s="2206"/>
      <c r="MVP7" s="2206"/>
      <c r="MVQ7" s="2206"/>
      <c r="MVR7" s="2206"/>
      <c r="MVS7" s="2206"/>
      <c r="MVT7" s="2206"/>
      <c r="MVU7" s="2206"/>
      <c r="MVV7" s="2206"/>
      <c r="MVW7" s="2206"/>
      <c r="MVX7" s="2206"/>
      <c r="MVY7" s="2206"/>
      <c r="MVZ7" s="2206"/>
      <c r="MWA7" s="2206"/>
      <c r="MWB7" s="2206"/>
      <c r="MWC7" s="2206"/>
      <c r="MWD7" s="2206"/>
      <c r="MWE7" s="2206"/>
      <c r="MWF7" s="2206"/>
      <c r="MWG7" s="2206"/>
      <c r="MWH7" s="2206"/>
      <c r="MWI7" s="2206"/>
      <c r="MWJ7" s="2206"/>
      <c r="MWK7" s="2206"/>
      <c r="MWL7" s="2206"/>
      <c r="MWM7" s="2206"/>
      <c r="MWN7" s="2206"/>
      <c r="MWO7" s="2206"/>
      <c r="MWP7" s="2206"/>
      <c r="MWQ7" s="2206"/>
      <c r="MWR7" s="2206"/>
      <c r="MWS7" s="2206"/>
      <c r="MWT7" s="2206"/>
      <c r="MWU7" s="2206"/>
      <c r="MWV7" s="2206"/>
      <c r="MWW7" s="2206"/>
      <c r="MWX7" s="2206"/>
      <c r="MWY7" s="2206"/>
      <c r="MWZ7" s="2206"/>
      <c r="MXA7" s="2206"/>
      <c r="MXB7" s="2206"/>
      <c r="MXC7" s="2206"/>
      <c r="MXD7" s="2206"/>
      <c r="MXE7" s="2206"/>
      <c r="MXF7" s="2206"/>
      <c r="MXG7" s="2206"/>
      <c r="MXH7" s="2206"/>
      <c r="MXI7" s="2206"/>
      <c r="MXJ7" s="2206"/>
      <c r="MXK7" s="2206"/>
      <c r="MXL7" s="2206"/>
      <c r="MXM7" s="2206"/>
      <c r="MXN7" s="2206"/>
      <c r="MXO7" s="2206"/>
      <c r="MXP7" s="2206"/>
      <c r="MXQ7" s="2206"/>
      <c r="MXR7" s="2206"/>
      <c r="MXS7" s="2206"/>
      <c r="MXT7" s="2206"/>
      <c r="MXU7" s="2206"/>
      <c r="MXV7" s="2206"/>
      <c r="MXW7" s="2206"/>
      <c r="MXX7" s="2206"/>
      <c r="MXY7" s="2206"/>
      <c r="MXZ7" s="2206"/>
      <c r="MYA7" s="2206"/>
      <c r="MYB7" s="2206"/>
      <c r="MYC7" s="2206"/>
      <c r="MYD7" s="2206"/>
      <c r="MYE7" s="2206"/>
      <c r="MYF7" s="2206"/>
      <c r="MYG7" s="2206"/>
      <c r="MYH7" s="2206"/>
      <c r="MYI7" s="2206"/>
      <c r="MYJ7" s="2206"/>
      <c r="MYK7" s="2206"/>
      <c r="MYL7" s="2206"/>
      <c r="MYM7" s="2206"/>
      <c r="MYN7" s="2206"/>
      <c r="MYO7" s="2206"/>
      <c r="MYP7" s="2206"/>
      <c r="MYQ7" s="2206"/>
      <c r="MYR7" s="2206"/>
      <c r="MYS7" s="2206"/>
      <c r="MYT7" s="2206"/>
      <c r="MYU7" s="2206"/>
      <c r="MYV7" s="2206"/>
      <c r="MYW7" s="2206"/>
      <c r="MYX7" s="2206"/>
      <c r="MYY7" s="2206"/>
      <c r="MYZ7" s="2206"/>
      <c r="MZA7" s="2206"/>
      <c r="MZB7" s="2206"/>
      <c r="MZC7" s="2206"/>
      <c r="MZD7" s="2206"/>
      <c r="MZE7" s="2206"/>
      <c r="MZF7" s="2206"/>
      <c r="MZG7" s="2206"/>
      <c r="MZH7" s="2206"/>
      <c r="MZI7" s="2206"/>
      <c r="MZJ7" s="2206"/>
      <c r="MZK7" s="2206"/>
      <c r="MZL7" s="2206"/>
      <c r="MZM7" s="2206"/>
      <c r="MZN7" s="2206"/>
      <c r="MZO7" s="2206"/>
      <c r="MZP7" s="2206"/>
      <c r="MZQ7" s="2206"/>
      <c r="MZR7" s="2206"/>
      <c r="MZS7" s="2206"/>
      <c r="MZT7" s="2206"/>
      <c r="MZU7" s="2206"/>
      <c r="MZV7" s="2206"/>
      <c r="MZW7" s="2206"/>
      <c r="MZX7" s="2206"/>
      <c r="MZY7" s="2206"/>
      <c r="MZZ7" s="2206"/>
      <c r="NAA7" s="2206"/>
      <c r="NAB7" s="2206"/>
      <c r="NAC7" s="2206"/>
      <c r="NAD7" s="2206"/>
      <c r="NAE7" s="2206"/>
      <c r="NAF7" s="2206"/>
      <c r="NAG7" s="2206"/>
      <c r="NAH7" s="2206"/>
      <c r="NAI7" s="2206"/>
      <c r="NAJ7" s="2206"/>
      <c r="NAK7" s="2206"/>
      <c r="NAL7" s="2206"/>
      <c r="NAM7" s="2206"/>
      <c r="NAN7" s="2206"/>
      <c r="NAO7" s="2206"/>
      <c r="NAP7" s="2206"/>
      <c r="NAQ7" s="2206"/>
      <c r="NAR7" s="2206"/>
      <c r="NAS7" s="2206"/>
      <c r="NAT7" s="2206"/>
      <c r="NAU7" s="2206"/>
      <c r="NAV7" s="2206"/>
      <c r="NAW7" s="2206"/>
      <c r="NAX7" s="2206"/>
      <c r="NAY7" s="2206"/>
      <c r="NAZ7" s="2206"/>
      <c r="NBA7" s="2206"/>
      <c r="NBB7" s="2206"/>
      <c r="NBC7" s="2206"/>
      <c r="NBD7" s="2206"/>
      <c r="NBE7" s="2206"/>
      <c r="NBF7" s="2206"/>
      <c r="NBG7" s="2206"/>
      <c r="NBH7" s="2206"/>
      <c r="NBI7" s="2206"/>
      <c r="NBJ7" s="2206"/>
      <c r="NBK7" s="2206"/>
      <c r="NBL7" s="2206"/>
      <c r="NBM7" s="2206"/>
      <c r="NBN7" s="2206"/>
      <c r="NBO7" s="2206"/>
      <c r="NBP7" s="2206"/>
      <c r="NBQ7" s="2206"/>
      <c r="NBR7" s="2206"/>
      <c r="NBS7" s="2206"/>
      <c r="NBT7" s="2206"/>
      <c r="NBU7" s="2206"/>
      <c r="NBV7" s="2206"/>
      <c r="NBW7" s="2206"/>
      <c r="NBX7" s="2206"/>
      <c r="NBY7" s="2206"/>
      <c r="NBZ7" s="2206"/>
      <c r="NCA7" s="2206"/>
      <c r="NCB7" s="2206"/>
      <c r="NCC7" s="2206"/>
      <c r="NCD7" s="2206"/>
      <c r="NCE7" s="2206"/>
      <c r="NCF7" s="2206"/>
      <c r="NCG7" s="2206"/>
      <c r="NCH7" s="2206"/>
      <c r="NCI7" s="2206"/>
      <c r="NCJ7" s="2206"/>
      <c r="NCK7" s="2206"/>
      <c r="NCL7" s="2206"/>
      <c r="NCM7" s="2206"/>
      <c r="NCN7" s="2206"/>
      <c r="NCO7" s="2206"/>
      <c r="NCP7" s="2206"/>
      <c r="NCQ7" s="2206"/>
      <c r="NCR7" s="2206"/>
      <c r="NCS7" s="2206"/>
      <c r="NCT7" s="2206"/>
      <c r="NCU7" s="2206"/>
      <c r="NCV7" s="2206"/>
      <c r="NCW7" s="2206"/>
      <c r="NCX7" s="2206"/>
      <c r="NCY7" s="2206"/>
      <c r="NCZ7" s="2206"/>
      <c r="NDA7" s="2206"/>
      <c r="NDB7" s="2206"/>
      <c r="NDC7" s="2206"/>
      <c r="NDD7" s="2206"/>
      <c r="NDE7" s="2206"/>
      <c r="NDF7" s="2206"/>
      <c r="NDG7" s="2206"/>
      <c r="NDH7" s="2206"/>
      <c r="NDI7" s="2206"/>
      <c r="NDJ7" s="2206"/>
      <c r="NDK7" s="2206"/>
      <c r="NDL7" s="2206"/>
      <c r="NDM7" s="2206"/>
      <c r="NDN7" s="2206"/>
      <c r="NDO7" s="2206"/>
      <c r="NDP7" s="2206"/>
      <c r="NDQ7" s="2206"/>
      <c r="NDR7" s="2206"/>
      <c r="NDS7" s="2206"/>
      <c r="NDT7" s="2206"/>
      <c r="NDU7" s="2206"/>
      <c r="NDV7" s="2206"/>
      <c r="NDW7" s="2206"/>
      <c r="NDX7" s="2206"/>
      <c r="NDY7" s="2206"/>
      <c r="NDZ7" s="2206"/>
      <c r="NEA7" s="2206"/>
      <c r="NEB7" s="2206"/>
      <c r="NEC7" s="2206"/>
      <c r="NED7" s="2206"/>
      <c r="NEE7" s="2206"/>
      <c r="NEF7" s="2206"/>
      <c r="NEG7" s="2206"/>
      <c r="NEH7" s="2206"/>
      <c r="NEI7" s="2206"/>
      <c r="NEJ7" s="2206"/>
      <c r="NEK7" s="2206"/>
      <c r="NEL7" s="2206"/>
      <c r="NEM7" s="2206"/>
      <c r="NEN7" s="2206"/>
      <c r="NEO7" s="2206"/>
      <c r="NEP7" s="2206"/>
      <c r="NEQ7" s="2206"/>
      <c r="NER7" s="2206"/>
      <c r="NES7" s="2206"/>
      <c r="NET7" s="2206"/>
      <c r="NEU7" s="2206"/>
      <c r="NEV7" s="2206"/>
      <c r="NEW7" s="2206"/>
      <c r="NEX7" s="2206"/>
      <c r="NEY7" s="2206"/>
      <c r="NEZ7" s="2206"/>
      <c r="NFA7" s="2206"/>
      <c r="NFB7" s="2206"/>
      <c r="NFC7" s="2206"/>
      <c r="NFD7" s="2206"/>
      <c r="NFE7" s="2206"/>
      <c r="NFF7" s="2206"/>
      <c r="NFG7" s="2206"/>
      <c r="NFH7" s="2206"/>
      <c r="NFI7" s="2206"/>
      <c r="NFJ7" s="2206"/>
      <c r="NFK7" s="2206"/>
      <c r="NFL7" s="2206"/>
      <c r="NFM7" s="2206"/>
      <c r="NFN7" s="2206"/>
      <c r="NFO7" s="2206"/>
      <c r="NFP7" s="2206"/>
      <c r="NFQ7" s="2206"/>
      <c r="NFR7" s="2206"/>
      <c r="NFS7" s="2206"/>
      <c r="NFT7" s="2206"/>
      <c r="NFU7" s="2206"/>
      <c r="NFV7" s="2206"/>
      <c r="NFW7" s="2206"/>
      <c r="NFX7" s="2206"/>
      <c r="NFY7" s="2206"/>
      <c r="NFZ7" s="2206"/>
      <c r="NGA7" s="2206"/>
      <c r="NGB7" s="2206"/>
      <c r="NGC7" s="2206"/>
      <c r="NGD7" s="2206"/>
      <c r="NGE7" s="2206"/>
      <c r="NGF7" s="2206"/>
      <c r="NGG7" s="2206"/>
      <c r="NGH7" s="2206"/>
      <c r="NGI7" s="2206"/>
      <c r="NGJ7" s="2206"/>
      <c r="NGK7" s="2206"/>
      <c r="NGL7" s="2206"/>
      <c r="NGM7" s="2206"/>
      <c r="NGN7" s="2206"/>
      <c r="NGO7" s="2206"/>
      <c r="NGP7" s="2206"/>
      <c r="NGQ7" s="2206"/>
      <c r="NGR7" s="2206"/>
      <c r="NGS7" s="2206"/>
      <c r="NGT7" s="2206"/>
      <c r="NGU7" s="2206"/>
      <c r="NGV7" s="2206"/>
      <c r="NGW7" s="2206"/>
      <c r="NGX7" s="2206"/>
      <c r="NGY7" s="2206"/>
      <c r="NGZ7" s="2206"/>
      <c r="NHA7" s="2206"/>
      <c r="NHB7" s="2206"/>
      <c r="NHC7" s="2206"/>
      <c r="NHD7" s="2206"/>
      <c r="NHE7" s="2206"/>
      <c r="NHF7" s="2206"/>
      <c r="NHG7" s="2206"/>
      <c r="NHH7" s="2206"/>
      <c r="NHI7" s="2206"/>
      <c r="NHJ7" s="2206"/>
      <c r="NHK7" s="2206"/>
      <c r="NHL7" s="2206"/>
      <c r="NHM7" s="2206"/>
      <c r="NHN7" s="2206"/>
      <c r="NHO7" s="2206"/>
      <c r="NHP7" s="2206"/>
      <c r="NHQ7" s="2206"/>
      <c r="NHR7" s="2206"/>
      <c r="NHS7" s="2206"/>
      <c r="NHT7" s="2206"/>
      <c r="NHU7" s="2206"/>
      <c r="NHV7" s="2206"/>
      <c r="NHW7" s="2206"/>
      <c r="NHX7" s="2206"/>
      <c r="NHY7" s="2206"/>
      <c r="NHZ7" s="2206"/>
      <c r="NIA7" s="2206"/>
      <c r="NIB7" s="2206"/>
      <c r="NIC7" s="2206"/>
      <c r="NID7" s="2206"/>
      <c r="NIE7" s="2206"/>
      <c r="NIF7" s="2206"/>
      <c r="NIG7" s="2206"/>
      <c r="NIH7" s="2206"/>
      <c r="NII7" s="2206"/>
      <c r="NIJ7" s="2206"/>
      <c r="NIK7" s="2206"/>
      <c r="NIL7" s="2206"/>
      <c r="NIM7" s="2206"/>
      <c r="NIN7" s="2206"/>
      <c r="NIO7" s="2206"/>
      <c r="NIP7" s="2206"/>
      <c r="NIQ7" s="2206"/>
      <c r="NIR7" s="2206"/>
      <c r="NIS7" s="2206"/>
      <c r="NIT7" s="2206"/>
      <c r="NIU7" s="2206"/>
      <c r="NIV7" s="2206"/>
      <c r="NIW7" s="2206"/>
      <c r="NIX7" s="2206"/>
      <c r="NIY7" s="2206"/>
      <c r="NIZ7" s="2206"/>
      <c r="NJA7" s="2206"/>
      <c r="NJB7" s="2206"/>
      <c r="NJC7" s="2206"/>
      <c r="NJD7" s="2206"/>
      <c r="NJE7" s="2206"/>
      <c r="NJF7" s="2206"/>
      <c r="NJG7" s="2206"/>
      <c r="NJH7" s="2206"/>
      <c r="NJI7" s="2206"/>
      <c r="NJJ7" s="2206"/>
      <c r="NJK7" s="2206"/>
      <c r="NJL7" s="2206"/>
      <c r="NJM7" s="2206"/>
      <c r="NJN7" s="2206"/>
      <c r="NJO7" s="2206"/>
      <c r="NJP7" s="2206"/>
      <c r="NJQ7" s="2206"/>
      <c r="NJR7" s="2206"/>
      <c r="NJS7" s="2206"/>
      <c r="NJT7" s="2206"/>
      <c r="NJU7" s="2206"/>
      <c r="NJV7" s="2206"/>
      <c r="NJW7" s="2206"/>
      <c r="NJX7" s="2206"/>
      <c r="NJY7" s="2206"/>
      <c r="NJZ7" s="2206"/>
      <c r="NKA7" s="2206"/>
      <c r="NKB7" s="2206"/>
      <c r="NKC7" s="2206"/>
      <c r="NKD7" s="2206"/>
      <c r="NKE7" s="2206"/>
      <c r="NKF7" s="2206"/>
      <c r="NKG7" s="2206"/>
      <c r="NKH7" s="2206"/>
      <c r="NKI7" s="2206"/>
      <c r="NKJ7" s="2206"/>
      <c r="NKK7" s="2206"/>
      <c r="NKL7" s="2206"/>
      <c r="NKM7" s="2206"/>
      <c r="NKN7" s="2206"/>
      <c r="NKO7" s="2206"/>
      <c r="NKP7" s="2206"/>
      <c r="NKQ7" s="2206"/>
      <c r="NKR7" s="2206"/>
      <c r="NKS7" s="2206"/>
      <c r="NKT7" s="2206"/>
      <c r="NKU7" s="2206"/>
      <c r="NKV7" s="2206"/>
      <c r="NKW7" s="2206"/>
      <c r="NKX7" s="2206"/>
      <c r="NKY7" s="2206"/>
      <c r="NKZ7" s="2206"/>
      <c r="NLA7" s="2206"/>
      <c r="NLB7" s="2206"/>
      <c r="NLC7" s="2206"/>
      <c r="NLD7" s="2206"/>
      <c r="NLE7" s="2206"/>
      <c r="NLF7" s="2206"/>
      <c r="NLG7" s="2206"/>
      <c r="NLH7" s="2206"/>
      <c r="NLI7" s="2206"/>
      <c r="NLJ7" s="2206"/>
      <c r="NLK7" s="2206"/>
      <c r="NLL7" s="2206"/>
      <c r="NLM7" s="2206"/>
      <c r="NLN7" s="2206"/>
      <c r="NLO7" s="2206"/>
      <c r="NLP7" s="2206"/>
      <c r="NLQ7" s="2206"/>
      <c r="NLR7" s="2206"/>
      <c r="NLS7" s="2206"/>
      <c r="NLT7" s="2206"/>
      <c r="NLU7" s="2206"/>
      <c r="NLV7" s="2206"/>
      <c r="NLW7" s="2206"/>
      <c r="NLX7" s="2206"/>
      <c r="NLY7" s="2206"/>
      <c r="NLZ7" s="2206"/>
      <c r="NMA7" s="2206"/>
      <c r="NMB7" s="2206"/>
      <c r="NMC7" s="2206"/>
      <c r="NMD7" s="2206"/>
      <c r="NME7" s="2206"/>
      <c r="NMF7" s="2206"/>
      <c r="NMG7" s="2206"/>
      <c r="NMH7" s="2206"/>
      <c r="NMI7" s="2206"/>
      <c r="NMJ7" s="2206"/>
      <c r="NMK7" s="2206"/>
      <c r="NML7" s="2206"/>
      <c r="NMM7" s="2206"/>
      <c r="NMN7" s="2206"/>
      <c r="NMO7" s="2206"/>
      <c r="NMP7" s="2206"/>
      <c r="NMQ7" s="2206"/>
      <c r="NMR7" s="2206"/>
      <c r="NMS7" s="2206"/>
      <c r="NMT7" s="2206"/>
      <c r="NMU7" s="2206"/>
      <c r="NMV7" s="2206"/>
      <c r="NMW7" s="2206"/>
      <c r="NMX7" s="2206"/>
      <c r="NMY7" s="2206"/>
      <c r="NMZ7" s="2206"/>
      <c r="NNA7" s="2206"/>
      <c r="NNB7" s="2206"/>
      <c r="NNC7" s="2206"/>
      <c r="NND7" s="2206"/>
      <c r="NNE7" s="2206"/>
      <c r="NNF7" s="2206"/>
      <c r="NNG7" s="2206"/>
      <c r="NNH7" s="2206"/>
      <c r="NNI7" s="2206"/>
      <c r="NNJ7" s="2206"/>
      <c r="NNK7" s="2206"/>
      <c r="NNL7" s="2206"/>
      <c r="NNM7" s="2206"/>
      <c r="NNN7" s="2206"/>
      <c r="NNO7" s="2206"/>
      <c r="NNP7" s="2206"/>
      <c r="NNQ7" s="2206"/>
      <c r="NNR7" s="2206"/>
      <c r="NNS7" s="2206"/>
      <c r="NNT7" s="2206"/>
      <c r="NNU7" s="2206"/>
      <c r="NNV7" s="2206"/>
      <c r="NNW7" s="2206"/>
      <c r="NNX7" s="2206"/>
      <c r="NNY7" s="2206"/>
      <c r="NNZ7" s="2206"/>
      <c r="NOA7" s="2206"/>
      <c r="NOB7" s="2206"/>
      <c r="NOC7" s="2206"/>
      <c r="NOD7" s="2206"/>
      <c r="NOE7" s="2206"/>
      <c r="NOF7" s="2206"/>
      <c r="NOG7" s="2206"/>
      <c r="NOH7" s="2206"/>
      <c r="NOI7" s="2206"/>
      <c r="NOJ7" s="2206"/>
      <c r="NOK7" s="2206"/>
      <c r="NOL7" s="2206"/>
      <c r="NOM7" s="2206"/>
      <c r="NON7" s="2206"/>
      <c r="NOO7" s="2206"/>
      <c r="NOP7" s="2206"/>
      <c r="NOQ7" s="2206"/>
      <c r="NOR7" s="2206"/>
      <c r="NOS7" s="2206"/>
      <c r="NOT7" s="2206"/>
      <c r="NOU7" s="2206"/>
      <c r="NOV7" s="2206"/>
      <c r="NOW7" s="2206"/>
      <c r="NOX7" s="2206"/>
      <c r="NOY7" s="2206"/>
      <c r="NOZ7" s="2206"/>
      <c r="NPA7" s="2206"/>
      <c r="NPB7" s="2206"/>
      <c r="NPC7" s="2206"/>
      <c r="NPD7" s="2206"/>
      <c r="NPE7" s="2206"/>
      <c r="NPF7" s="2206"/>
      <c r="NPG7" s="2206"/>
      <c r="NPH7" s="2206"/>
      <c r="NPI7" s="2206"/>
      <c r="NPJ7" s="2206"/>
      <c r="NPK7" s="2206"/>
      <c r="NPL7" s="2206"/>
      <c r="NPM7" s="2206"/>
      <c r="NPN7" s="2206"/>
      <c r="NPO7" s="2206"/>
      <c r="NPP7" s="2206"/>
      <c r="NPQ7" s="2206"/>
      <c r="NPR7" s="2206"/>
      <c r="NPS7" s="2206"/>
      <c r="NPT7" s="2206"/>
      <c r="NPU7" s="2206"/>
      <c r="NPV7" s="2206"/>
      <c r="NPW7" s="2206"/>
      <c r="NPX7" s="2206"/>
      <c r="NPY7" s="2206"/>
      <c r="NPZ7" s="2206"/>
      <c r="NQA7" s="2206"/>
      <c r="NQB7" s="2206"/>
      <c r="NQC7" s="2206"/>
      <c r="NQD7" s="2206"/>
      <c r="NQE7" s="2206"/>
      <c r="NQF7" s="2206"/>
      <c r="NQG7" s="2206"/>
      <c r="NQH7" s="2206"/>
      <c r="NQI7" s="2206"/>
      <c r="NQJ7" s="2206"/>
      <c r="NQK7" s="2206"/>
      <c r="NQL7" s="2206"/>
      <c r="NQM7" s="2206"/>
      <c r="NQN7" s="2206"/>
      <c r="NQO7" s="2206"/>
      <c r="NQP7" s="2206"/>
      <c r="NQQ7" s="2206"/>
      <c r="NQR7" s="2206"/>
      <c r="NQS7" s="2206"/>
      <c r="NQT7" s="2206"/>
      <c r="NQU7" s="2206"/>
      <c r="NQV7" s="2206"/>
      <c r="NQW7" s="2206"/>
      <c r="NQX7" s="2206"/>
      <c r="NQY7" s="2206"/>
      <c r="NQZ7" s="2206"/>
      <c r="NRA7" s="2206"/>
      <c r="NRB7" s="2206"/>
      <c r="NRC7" s="2206"/>
      <c r="NRD7" s="2206"/>
      <c r="NRE7" s="2206"/>
      <c r="NRF7" s="2206"/>
      <c r="NRG7" s="2206"/>
      <c r="NRH7" s="2206"/>
      <c r="NRI7" s="2206"/>
      <c r="NRJ7" s="2206"/>
      <c r="NRK7" s="2206"/>
      <c r="NRL7" s="2206"/>
      <c r="NRM7" s="2206"/>
      <c r="NRN7" s="2206"/>
      <c r="NRO7" s="2206"/>
      <c r="NRP7" s="2206"/>
      <c r="NRQ7" s="2206"/>
      <c r="NRR7" s="2206"/>
      <c r="NRS7" s="2206"/>
      <c r="NRT7" s="2206"/>
      <c r="NRU7" s="2206"/>
      <c r="NRV7" s="2206"/>
      <c r="NRW7" s="2206"/>
      <c r="NRX7" s="2206"/>
      <c r="NRY7" s="2206"/>
      <c r="NRZ7" s="2206"/>
      <c r="NSA7" s="2206"/>
      <c r="NSB7" s="2206"/>
      <c r="NSC7" s="2206"/>
      <c r="NSD7" s="2206"/>
      <c r="NSE7" s="2206"/>
      <c r="NSF7" s="2206"/>
      <c r="NSG7" s="2206"/>
      <c r="NSH7" s="2206"/>
      <c r="NSI7" s="2206"/>
      <c r="NSJ7" s="2206"/>
      <c r="NSK7" s="2206"/>
      <c r="NSL7" s="2206"/>
      <c r="NSM7" s="2206"/>
      <c r="NSN7" s="2206"/>
      <c r="NSO7" s="2206"/>
      <c r="NSP7" s="2206"/>
      <c r="NSQ7" s="2206"/>
      <c r="NSR7" s="2206"/>
      <c r="NSS7" s="2206"/>
      <c r="NST7" s="2206"/>
      <c r="NSU7" s="2206"/>
      <c r="NSV7" s="2206"/>
      <c r="NSW7" s="2206"/>
      <c r="NSX7" s="2206"/>
      <c r="NSY7" s="2206"/>
      <c r="NSZ7" s="2206"/>
      <c r="NTA7" s="2206"/>
      <c r="NTB7" s="2206"/>
      <c r="NTC7" s="2206"/>
      <c r="NTD7" s="2206"/>
      <c r="NTE7" s="2206"/>
      <c r="NTF7" s="2206"/>
      <c r="NTG7" s="2206"/>
      <c r="NTH7" s="2206"/>
      <c r="NTI7" s="2206"/>
      <c r="NTJ7" s="2206"/>
      <c r="NTK7" s="2206"/>
      <c r="NTL7" s="2206"/>
      <c r="NTM7" s="2206"/>
      <c r="NTN7" s="2206"/>
      <c r="NTO7" s="2206"/>
      <c r="NTP7" s="2206"/>
      <c r="NTQ7" s="2206"/>
      <c r="NTR7" s="2206"/>
      <c r="NTS7" s="2206"/>
      <c r="NTT7" s="2206"/>
      <c r="NTU7" s="2206"/>
      <c r="NTV7" s="2206"/>
      <c r="NTW7" s="2206"/>
      <c r="NTX7" s="2206"/>
      <c r="NTY7" s="2206"/>
      <c r="NTZ7" s="2206"/>
      <c r="NUA7" s="2206"/>
      <c r="NUB7" s="2206"/>
      <c r="NUC7" s="2206"/>
      <c r="NUD7" s="2206"/>
      <c r="NUE7" s="2206"/>
      <c r="NUF7" s="2206"/>
      <c r="NUG7" s="2206"/>
      <c r="NUH7" s="2206"/>
      <c r="NUI7" s="2206"/>
      <c r="NUJ7" s="2206"/>
      <c r="NUK7" s="2206"/>
      <c r="NUL7" s="2206"/>
      <c r="NUM7" s="2206"/>
      <c r="NUN7" s="2206"/>
      <c r="NUO7" s="2206"/>
      <c r="NUP7" s="2206"/>
      <c r="NUQ7" s="2206"/>
      <c r="NUR7" s="2206"/>
      <c r="NUS7" s="2206"/>
      <c r="NUT7" s="2206"/>
      <c r="NUU7" s="2206"/>
      <c r="NUV7" s="2206"/>
      <c r="NUW7" s="2206"/>
      <c r="NUX7" s="2206"/>
      <c r="NUY7" s="2206"/>
      <c r="NUZ7" s="2206"/>
      <c r="NVA7" s="2206"/>
      <c r="NVB7" s="2206"/>
      <c r="NVC7" s="2206"/>
      <c r="NVD7" s="2206"/>
      <c r="NVE7" s="2206"/>
      <c r="NVF7" s="2206"/>
      <c r="NVG7" s="2206"/>
      <c r="NVH7" s="2206"/>
      <c r="NVI7" s="2206"/>
      <c r="NVJ7" s="2206"/>
      <c r="NVK7" s="2206"/>
      <c r="NVL7" s="2206"/>
      <c r="NVM7" s="2206"/>
      <c r="NVN7" s="2206"/>
      <c r="NVO7" s="2206"/>
      <c r="NVP7" s="2206"/>
      <c r="NVQ7" s="2206"/>
      <c r="NVR7" s="2206"/>
      <c r="NVS7" s="2206"/>
      <c r="NVT7" s="2206"/>
      <c r="NVU7" s="2206"/>
      <c r="NVV7" s="2206"/>
      <c r="NVW7" s="2206"/>
      <c r="NVX7" s="2206"/>
      <c r="NVY7" s="2206"/>
      <c r="NVZ7" s="2206"/>
      <c r="NWA7" s="2206"/>
      <c r="NWB7" s="2206"/>
      <c r="NWC7" s="2206"/>
      <c r="NWD7" s="2206"/>
      <c r="NWE7" s="2206"/>
      <c r="NWF7" s="2206"/>
      <c r="NWG7" s="2206"/>
      <c r="NWH7" s="2206"/>
      <c r="NWI7" s="2206"/>
      <c r="NWJ7" s="2206"/>
      <c r="NWK7" s="2206"/>
      <c r="NWL7" s="2206"/>
      <c r="NWM7" s="2206"/>
      <c r="NWN7" s="2206"/>
      <c r="NWO7" s="2206"/>
      <c r="NWP7" s="2206"/>
      <c r="NWQ7" s="2206"/>
      <c r="NWR7" s="2206"/>
      <c r="NWS7" s="2206"/>
      <c r="NWT7" s="2206"/>
      <c r="NWU7" s="2206"/>
      <c r="NWV7" s="2206"/>
      <c r="NWW7" s="2206"/>
      <c r="NWX7" s="2206"/>
      <c r="NWY7" s="2206"/>
      <c r="NWZ7" s="2206"/>
      <c r="NXA7" s="2206"/>
      <c r="NXB7" s="2206"/>
      <c r="NXC7" s="2206"/>
      <c r="NXD7" s="2206"/>
      <c r="NXE7" s="2206"/>
      <c r="NXF7" s="2206"/>
      <c r="NXG7" s="2206"/>
      <c r="NXH7" s="2206"/>
      <c r="NXI7" s="2206"/>
      <c r="NXJ7" s="2206"/>
      <c r="NXK7" s="2206"/>
      <c r="NXL7" s="2206"/>
      <c r="NXM7" s="2206"/>
      <c r="NXN7" s="2206"/>
      <c r="NXO7" s="2206"/>
      <c r="NXP7" s="2206"/>
      <c r="NXQ7" s="2206"/>
      <c r="NXR7" s="2206"/>
      <c r="NXS7" s="2206"/>
      <c r="NXT7" s="2206"/>
      <c r="NXU7" s="2206"/>
      <c r="NXV7" s="2206"/>
      <c r="NXW7" s="2206"/>
      <c r="NXX7" s="2206"/>
      <c r="NXY7" s="2206"/>
      <c r="NXZ7" s="2206"/>
      <c r="NYA7" s="2206"/>
      <c r="NYB7" s="2206"/>
      <c r="NYC7" s="2206"/>
      <c r="NYD7" s="2206"/>
      <c r="NYE7" s="2206"/>
      <c r="NYF7" s="2206"/>
      <c r="NYG7" s="2206"/>
      <c r="NYH7" s="2206"/>
      <c r="NYI7" s="2206"/>
      <c r="NYJ7" s="2206"/>
      <c r="NYK7" s="2206"/>
      <c r="NYL7" s="2206"/>
      <c r="NYM7" s="2206"/>
      <c r="NYN7" s="2206"/>
      <c r="NYO7" s="2206"/>
      <c r="NYP7" s="2206"/>
      <c r="NYQ7" s="2206"/>
      <c r="NYR7" s="2206"/>
      <c r="NYS7" s="2206"/>
      <c r="NYT7" s="2206"/>
      <c r="NYU7" s="2206"/>
      <c r="NYV7" s="2206"/>
      <c r="NYW7" s="2206"/>
      <c r="NYX7" s="2206"/>
      <c r="NYY7" s="2206"/>
      <c r="NYZ7" s="2206"/>
      <c r="NZA7" s="2206"/>
      <c r="NZB7" s="2206"/>
      <c r="NZC7" s="2206"/>
      <c r="NZD7" s="2206"/>
      <c r="NZE7" s="2206"/>
      <c r="NZF7" s="2206"/>
      <c r="NZG7" s="2206"/>
      <c r="NZH7" s="2206"/>
      <c r="NZI7" s="2206"/>
      <c r="NZJ7" s="2206"/>
      <c r="NZK7" s="2206"/>
      <c r="NZL7" s="2206"/>
      <c r="NZM7" s="2206"/>
      <c r="NZN7" s="2206"/>
      <c r="NZO7" s="2206"/>
      <c r="NZP7" s="2206"/>
      <c r="NZQ7" s="2206"/>
      <c r="NZR7" s="2206"/>
      <c r="NZS7" s="2206"/>
      <c r="NZT7" s="2206"/>
      <c r="NZU7" s="2206"/>
      <c r="NZV7" s="2206"/>
      <c r="NZW7" s="2206"/>
      <c r="NZX7" s="2206"/>
      <c r="NZY7" s="2206"/>
      <c r="NZZ7" s="2206"/>
      <c r="OAA7" s="2206"/>
      <c r="OAB7" s="2206"/>
      <c r="OAC7" s="2206"/>
      <c r="OAD7" s="2206"/>
      <c r="OAE7" s="2206"/>
      <c r="OAF7" s="2206"/>
      <c r="OAG7" s="2206"/>
      <c r="OAH7" s="2206"/>
      <c r="OAI7" s="2206"/>
      <c r="OAJ7" s="2206"/>
      <c r="OAK7" s="2206"/>
      <c r="OAL7" s="2206"/>
      <c r="OAM7" s="2206"/>
      <c r="OAN7" s="2206"/>
      <c r="OAO7" s="2206"/>
      <c r="OAP7" s="2206"/>
      <c r="OAQ7" s="2206"/>
      <c r="OAR7" s="2206"/>
      <c r="OAS7" s="2206"/>
      <c r="OAT7" s="2206"/>
      <c r="OAU7" s="2206"/>
      <c r="OAV7" s="2206"/>
      <c r="OAW7" s="2206"/>
      <c r="OAX7" s="2206"/>
      <c r="OAY7" s="2206"/>
      <c r="OAZ7" s="2206"/>
      <c r="OBA7" s="2206"/>
      <c r="OBB7" s="2206"/>
      <c r="OBC7" s="2206"/>
      <c r="OBD7" s="2206"/>
      <c r="OBE7" s="2206"/>
      <c r="OBF7" s="2206"/>
      <c r="OBG7" s="2206"/>
      <c r="OBH7" s="2206"/>
      <c r="OBI7" s="2206"/>
      <c r="OBJ7" s="2206"/>
      <c r="OBK7" s="2206"/>
      <c r="OBL7" s="2206"/>
      <c r="OBM7" s="2206"/>
      <c r="OBN7" s="2206"/>
      <c r="OBO7" s="2206"/>
      <c r="OBP7" s="2206"/>
      <c r="OBQ7" s="2206"/>
      <c r="OBR7" s="2206"/>
      <c r="OBS7" s="2206"/>
      <c r="OBT7" s="2206"/>
      <c r="OBU7" s="2206"/>
      <c r="OBV7" s="2206"/>
      <c r="OBW7" s="2206"/>
      <c r="OBX7" s="2206"/>
      <c r="OBY7" s="2206"/>
      <c r="OBZ7" s="2206"/>
      <c r="OCA7" s="2206"/>
      <c r="OCB7" s="2206"/>
      <c r="OCC7" s="2206"/>
      <c r="OCD7" s="2206"/>
      <c r="OCE7" s="2206"/>
      <c r="OCF7" s="2206"/>
      <c r="OCG7" s="2206"/>
      <c r="OCH7" s="2206"/>
      <c r="OCI7" s="2206"/>
      <c r="OCJ7" s="2206"/>
      <c r="OCK7" s="2206"/>
      <c r="OCL7" s="2206"/>
      <c r="OCM7" s="2206"/>
      <c r="OCN7" s="2206"/>
      <c r="OCO7" s="2206"/>
      <c r="OCP7" s="2206"/>
      <c r="OCQ7" s="2206"/>
      <c r="OCR7" s="2206"/>
      <c r="OCS7" s="2206"/>
      <c r="OCT7" s="2206"/>
      <c r="OCU7" s="2206"/>
      <c r="OCV7" s="2206"/>
      <c r="OCW7" s="2206"/>
      <c r="OCX7" s="2206"/>
      <c r="OCY7" s="2206"/>
      <c r="OCZ7" s="2206"/>
      <c r="ODA7" s="2206"/>
      <c r="ODB7" s="2206"/>
      <c r="ODC7" s="2206"/>
      <c r="ODD7" s="2206"/>
      <c r="ODE7" s="2206"/>
      <c r="ODF7" s="2206"/>
      <c r="ODG7" s="2206"/>
      <c r="ODH7" s="2206"/>
      <c r="ODI7" s="2206"/>
      <c r="ODJ7" s="2206"/>
      <c r="ODK7" s="2206"/>
      <c r="ODL7" s="2206"/>
      <c r="ODM7" s="2206"/>
      <c r="ODN7" s="2206"/>
      <c r="ODO7" s="2206"/>
      <c r="ODP7" s="2206"/>
      <c r="ODQ7" s="2206"/>
      <c r="ODR7" s="2206"/>
      <c r="ODS7" s="2206"/>
      <c r="ODT7" s="2206"/>
      <c r="ODU7" s="2206"/>
      <c r="ODV7" s="2206"/>
      <c r="ODW7" s="2206"/>
      <c r="ODX7" s="2206"/>
      <c r="ODY7" s="2206"/>
      <c r="ODZ7" s="2206"/>
      <c r="OEA7" s="2206"/>
      <c r="OEB7" s="2206"/>
      <c r="OEC7" s="2206"/>
      <c r="OED7" s="2206"/>
      <c r="OEE7" s="2206"/>
      <c r="OEF7" s="2206"/>
      <c r="OEG7" s="2206"/>
      <c r="OEH7" s="2206"/>
      <c r="OEI7" s="2206"/>
      <c r="OEJ7" s="2206"/>
      <c r="OEK7" s="2206"/>
      <c r="OEL7" s="2206"/>
      <c r="OEM7" s="2206"/>
      <c r="OEN7" s="2206"/>
      <c r="OEO7" s="2206"/>
      <c r="OEP7" s="2206"/>
      <c r="OEQ7" s="2206"/>
      <c r="OER7" s="2206"/>
      <c r="OES7" s="2206"/>
      <c r="OET7" s="2206"/>
      <c r="OEU7" s="2206"/>
      <c r="OEV7" s="2206"/>
      <c r="OEW7" s="2206"/>
      <c r="OEX7" s="2206"/>
      <c r="OEY7" s="2206"/>
      <c r="OEZ7" s="2206"/>
      <c r="OFA7" s="2206"/>
      <c r="OFB7" s="2206"/>
      <c r="OFC7" s="2206"/>
      <c r="OFD7" s="2206"/>
      <c r="OFE7" s="2206"/>
      <c r="OFF7" s="2206"/>
      <c r="OFG7" s="2206"/>
      <c r="OFH7" s="2206"/>
      <c r="OFI7" s="2206"/>
      <c r="OFJ7" s="2206"/>
      <c r="OFK7" s="2206"/>
      <c r="OFL7" s="2206"/>
      <c r="OFM7" s="2206"/>
      <c r="OFN7" s="2206"/>
      <c r="OFO7" s="2206"/>
      <c r="OFP7" s="2206"/>
      <c r="OFQ7" s="2206"/>
      <c r="OFR7" s="2206"/>
      <c r="OFS7" s="2206"/>
      <c r="OFT7" s="2206"/>
      <c r="OFU7" s="2206"/>
      <c r="OFV7" s="2206"/>
      <c r="OFW7" s="2206"/>
      <c r="OFX7" s="2206"/>
      <c r="OFY7" s="2206"/>
      <c r="OFZ7" s="2206"/>
      <c r="OGA7" s="2206"/>
      <c r="OGB7" s="2206"/>
      <c r="OGC7" s="2206"/>
      <c r="OGD7" s="2206"/>
      <c r="OGE7" s="2206"/>
      <c r="OGF7" s="2206"/>
      <c r="OGG7" s="2206"/>
      <c r="OGH7" s="2206"/>
      <c r="OGI7" s="2206"/>
      <c r="OGJ7" s="2206"/>
      <c r="OGK7" s="2206"/>
      <c r="OGL7" s="2206"/>
      <c r="OGM7" s="2206"/>
      <c r="OGN7" s="2206"/>
      <c r="OGO7" s="2206"/>
      <c r="OGP7" s="2206"/>
      <c r="OGQ7" s="2206"/>
      <c r="OGR7" s="2206"/>
      <c r="OGS7" s="2206"/>
      <c r="OGT7" s="2206"/>
      <c r="OGU7" s="2206"/>
      <c r="OGV7" s="2206"/>
      <c r="OGW7" s="2206"/>
      <c r="OGX7" s="2206"/>
      <c r="OGY7" s="2206"/>
      <c r="OGZ7" s="2206"/>
      <c r="OHA7" s="2206"/>
      <c r="OHB7" s="2206"/>
      <c r="OHC7" s="2206"/>
      <c r="OHD7" s="2206"/>
      <c r="OHE7" s="2206"/>
      <c r="OHF7" s="2206"/>
      <c r="OHG7" s="2206"/>
      <c r="OHH7" s="2206"/>
      <c r="OHI7" s="2206"/>
      <c r="OHJ7" s="2206"/>
      <c r="OHK7" s="2206"/>
      <c r="OHL7" s="2206"/>
      <c r="OHM7" s="2206"/>
      <c r="OHN7" s="2206"/>
      <c r="OHO7" s="2206"/>
      <c r="OHP7" s="2206"/>
      <c r="OHQ7" s="2206"/>
      <c r="OHR7" s="2206"/>
      <c r="OHS7" s="2206"/>
      <c r="OHT7" s="2206"/>
      <c r="OHU7" s="2206"/>
      <c r="OHV7" s="2206"/>
      <c r="OHW7" s="2206"/>
      <c r="OHX7" s="2206"/>
      <c r="OHY7" s="2206"/>
      <c r="OHZ7" s="2206"/>
      <c r="OIA7" s="2206"/>
      <c r="OIB7" s="2206"/>
      <c r="OIC7" s="2206"/>
      <c r="OID7" s="2206"/>
      <c r="OIE7" s="2206"/>
      <c r="OIF7" s="2206"/>
      <c r="OIG7" s="2206"/>
      <c r="OIH7" s="2206"/>
      <c r="OII7" s="2206"/>
      <c r="OIJ7" s="2206"/>
      <c r="OIK7" s="2206"/>
      <c r="OIL7" s="2206"/>
      <c r="OIM7" s="2206"/>
      <c r="OIN7" s="2206"/>
      <c r="OIO7" s="2206"/>
      <c r="OIP7" s="2206"/>
      <c r="OIQ7" s="2206"/>
      <c r="OIR7" s="2206"/>
      <c r="OIS7" s="2206"/>
      <c r="OIT7" s="2206"/>
      <c r="OIU7" s="2206"/>
      <c r="OIV7" s="2206"/>
      <c r="OIW7" s="2206"/>
      <c r="OIX7" s="2206"/>
      <c r="OIY7" s="2206"/>
      <c r="OIZ7" s="2206"/>
      <c r="OJA7" s="2206"/>
      <c r="OJB7" s="2206"/>
      <c r="OJC7" s="2206"/>
      <c r="OJD7" s="2206"/>
      <c r="OJE7" s="2206"/>
      <c r="OJF7" s="2206"/>
      <c r="OJG7" s="2206"/>
      <c r="OJH7" s="2206"/>
      <c r="OJI7" s="2206"/>
      <c r="OJJ7" s="2206"/>
      <c r="OJK7" s="2206"/>
      <c r="OJL7" s="2206"/>
      <c r="OJM7" s="2206"/>
      <c r="OJN7" s="2206"/>
      <c r="OJO7" s="2206"/>
      <c r="OJP7" s="2206"/>
      <c r="OJQ7" s="2206"/>
      <c r="OJR7" s="2206"/>
      <c r="OJS7" s="2206"/>
      <c r="OJT7" s="2206"/>
      <c r="OJU7" s="2206"/>
      <c r="OJV7" s="2206"/>
      <c r="OJW7" s="2206"/>
      <c r="OJX7" s="2206"/>
      <c r="OJY7" s="2206"/>
      <c r="OJZ7" s="2206"/>
      <c r="OKA7" s="2206"/>
      <c r="OKB7" s="2206"/>
      <c r="OKC7" s="2206"/>
      <c r="OKD7" s="2206"/>
      <c r="OKE7" s="2206"/>
      <c r="OKF7" s="2206"/>
      <c r="OKG7" s="2206"/>
      <c r="OKH7" s="2206"/>
      <c r="OKI7" s="2206"/>
      <c r="OKJ7" s="2206"/>
      <c r="OKK7" s="2206"/>
      <c r="OKL7" s="2206"/>
      <c r="OKM7" s="2206"/>
      <c r="OKN7" s="2206"/>
      <c r="OKO7" s="2206"/>
      <c r="OKP7" s="2206"/>
      <c r="OKQ7" s="2206"/>
      <c r="OKR7" s="2206"/>
      <c r="OKS7" s="2206"/>
      <c r="OKT7" s="2206"/>
      <c r="OKU7" s="2206"/>
      <c r="OKV7" s="2206"/>
      <c r="OKW7" s="2206"/>
      <c r="OKX7" s="2206"/>
      <c r="OKY7" s="2206"/>
      <c r="OKZ7" s="2206"/>
      <c r="OLA7" s="2206"/>
      <c r="OLB7" s="2206"/>
      <c r="OLC7" s="2206"/>
      <c r="OLD7" s="2206"/>
      <c r="OLE7" s="2206"/>
      <c r="OLF7" s="2206"/>
      <c r="OLG7" s="2206"/>
      <c r="OLH7" s="2206"/>
      <c r="OLI7" s="2206"/>
      <c r="OLJ7" s="2206"/>
      <c r="OLK7" s="2206"/>
      <c r="OLL7" s="2206"/>
      <c r="OLM7" s="2206"/>
      <c r="OLN7" s="2206"/>
      <c r="OLO7" s="2206"/>
      <c r="OLP7" s="2206"/>
      <c r="OLQ7" s="2206"/>
      <c r="OLR7" s="2206"/>
      <c r="OLS7" s="2206"/>
      <c r="OLT7" s="2206"/>
      <c r="OLU7" s="2206"/>
      <c r="OLV7" s="2206"/>
      <c r="OLW7" s="2206"/>
      <c r="OLX7" s="2206"/>
      <c r="OLY7" s="2206"/>
      <c r="OLZ7" s="2206"/>
      <c r="OMA7" s="2206"/>
      <c r="OMB7" s="2206"/>
      <c r="OMC7" s="2206"/>
      <c r="OMD7" s="2206"/>
      <c r="OME7" s="2206"/>
      <c r="OMF7" s="2206"/>
      <c r="OMG7" s="2206"/>
      <c r="OMH7" s="2206"/>
      <c r="OMI7" s="2206"/>
      <c r="OMJ7" s="2206"/>
      <c r="OMK7" s="2206"/>
      <c r="OML7" s="2206"/>
      <c r="OMM7" s="2206"/>
      <c r="OMN7" s="2206"/>
      <c r="OMO7" s="2206"/>
      <c r="OMP7" s="2206"/>
      <c r="OMQ7" s="2206"/>
      <c r="OMR7" s="2206"/>
      <c r="OMS7" s="2206"/>
      <c r="OMT7" s="2206"/>
      <c r="OMU7" s="2206"/>
      <c r="OMV7" s="2206"/>
      <c r="OMW7" s="2206"/>
      <c r="OMX7" s="2206"/>
      <c r="OMY7" s="2206"/>
      <c r="OMZ7" s="2206"/>
      <c r="ONA7" s="2206"/>
      <c r="ONB7" s="2206"/>
      <c r="ONC7" s="2206"/>
      <c r="OND7" s="2206"/>
      <c r="ONE7" s="2206"/>
      <c r="ONF7" s="2206"/>
      <c r="ONG7" s="2206"/>
      <c r="ONH7" s="2206"/>
      <c r="ONI7" s="2206"/>
      <c r="ONJ7" s="2206"/>
      <c r="ONK7" s="2206"/>
      <c r="ONL7" s="2206"/>
      <c r="ONM7" s="2206"/>
      <c r="ONN7" s="2206"/>
      <c r="ONO7" s="2206"/>
      <c r="ONP7" s="2206"/>
      <c r="ONQ7" s="2206"/>
      <c r="ONR7" s="2206"/>
      <c r="ONS7" s="2206"/>
      <c r="ONT7" s="2206"/>
      <c r="ONU7" s="2206"/>
      <c r="ONV7" s="2206"/>
      <c r="ONW7" s="2206"/>
      <c r="ONX7" s="2206"/>
      <c r="ONY7" s="2206"/>
      <c r="ONZ7" s="2206"/>
      <c r="OOA7" s="2206"/>
      <c r="OOB7" s="2206"/>
      <c r="OOC7" s="2206"/>
      <c r="OOD7" s="2206"/>
      <c r="OOE7" s="2206"/>
      <c r="OOF7" s="2206"/>
      <c r="OOG7" s="2206"/>
      <c r="OOH7" s="2206"/>
      <c r="OOI7" s="2206"/>
      <c r="OOJ7" s="2206"/>
      <c r="OOK7" s="2206"/>
      <c r="OOL7" s="2206"/>
      <c r="OOM7" s="2206"/>
      <c r="OON7" s="2206"/>
      <c r="OOO7" s="2206"/>
      <c r="OOP7" s="2206"/>
      <c r="OOQ7" s="2206"/>
      <c r="OOR7" s="2206"/>
      <c r="OOS7" s="2206"/>
      <c r="OOT7" s="2206"/>
      <c r="OOU7" s="2206"/>
      <c r="OOV7" s="2206"/>
      <c r="OOW7" s="2206"/>
      <c r="OOX7" s="2206"/>
      <c r="OOY7" s="2206"/>
      <c r="OOZ7" s="2206"/>
      <c r="OPA7" s="2206"/>
      <c r="OPB7" s="2206"/>
      <c r="OPC7" s="2206"/>
      <c r="OPD7" s="2206"/>
      <c r="OPE7" s="2206"/>
      <c r="OPF7" s="2206"/>
      <c r="OPG7" s="2206"/>
      <c r="OPH7" s="2206"/>
      <c r="OPI7" s="2206"/>
      <c r="OPJ7" s="2206"/>
      <c r="OPK7" s="2206"/>
      <c r="OPL7" s="2206"/>
      <c r="OPM7" s="2206"/>
      <c r="OPN7" s="2206"/>
      <c r="OPO7" s="2206"/>
      <c r="OPP7" s="2206"/>
      <c r="OPQ7" s="2206"/>
      <c r="OPR7" s="2206"/>
      <c r="OPS7" s="2206"/>
      <c r="OPT7" s="2206"/>
      <c r="OPU7" s="2206"/>
      <c r="OPV7" s="2206"/>
      <c r="OPW7" s="2206"/>
      <c r="OPX7" s="2206"/>
      <c r="OPY7" s="2206"/>
      <c r="OPZ7" s="2206"/>
      <c r="OQA7" s="2206"/>
      <c r="OQB7" s="2206"/>
      <c r="OQC7" s="2206"/>
      <c r="OQD7" s="2206"/>
      <c r="OQE7" s="2206"/>
      <c r="OQF7" s="2206"/>
      <c r="OQG7" s="2206"/>
      <c r="OQH7" s="2206"/>
      <c r="OQI7" s="2206"/>
      <c r="OQJ7" s="2206"/>
      <c r="OQK7" s="2206"/>
      <c r="OQL7" s="2206"/>
      <c r="OQM7" s="2206"/>
      <c r="OQN7" s="2206"/>
      <c r="OQO7" s="2206"/>
      <c r="OQP7" s="2206"/>
      <c r="OQQ7" s="2206"/>
      <c r="OQR7" s="2206"/>
      <c r="OQS7" s="2206"/>
      <c r="OQT7" s="2206"/>
      <c r="OQU7" s="2206"/>
      <c r="OQV7" s="2206"/>
      <c r="OQW7" s="2206"/>
      <c r="OQX7" s="2206"/>
      <c r="OQY7" s="2206"/>
      <c r="OQZ7" s="2206"/>
      <c r="ORA7" s="2206"/>
      <c r="ORB7" s="2206"/>
      <c r="ORC7" s="2206"/>
      <c r="ORD7" s="2206"/>
      <c r="ORE7" s="2206"/>
      <c r="ORF7" s="2206"/>
      <c r="ORG7" s="2206"/>
      <c r="ORH7" s="2206"/>
      <c r="ORI7" s="2206"/>
      <c r="ORJ7" s="2206"/>
      <c r="ORK7" s="2206"/>
      <c r="ORL7" s="2206"/>
      <c r="ORM7" s="2206"/>
      <c r="ORN7" s="2206"/>
      <c r="ORO7" s="2206"/>
      <c r="ORP7" s="2206"/>
      <c r="ORQ7" s="2206"/>
      <c r="ORR7" s="2206"/>
      <c r="ORS7" s="2206"/>
      <c r="ORT7" s="2206"/>
      <c r="ORU7" s="2206"/>
      <c r="ORV7" s="2206"/>
      <c r="ORW7" s="2206"/>
      <c r="ORX7" s="2206"/>
      <c r="ORY7" s="2206"/>
      <c r="ORZ7" s="2206"/>
      <c r="OSA7" s="2206"/>
      <c r="OSB7" s="2206"/>
      <c r="OSC7" s="2206"/>
      <c r="OSD7" s="2206"/>
      <c r="OSE7" s="2206"/>
      <c r="OSF7" s="2206"/>
      <c r="OSG7" s="2206"/>
      <c r="OSH7" s="2206"/>
      <c r="OSI7" s="2206"/>
      <c r="OSJ7" s="2206"/>
      <c r="OSK7" s="2206"/>
      <c r="OSL7" s="2206"/>
      <c r="OSM7" s="2206"/>
      <c r="OSN7" s="2206"/>
      <c r="OSO7" s="2206"/>
      <c r="OSP7" s="2206"/>
      <c r="OSQ7" s="2206"/>
      <c r="OSR7" s="2206"/>
      <c r="OSS7" s="2206"/>
      <c r="OST7" s="2206"/>
      <c r="OSU7" s="2206"/>
      <c r="OSV7" s="2206"/>
      <c r="OSW7" s="2206"/>
      <c r="OSX7" s="2206"/>
      <c r="OSY7" s="2206"/>
      <c r="OSZ7" s="2206"/>
      <c r="OTA7" s="2206"/>
      <c r="OTB7" s="2206"/>
      <c r="OTC7" s="2206"/>
      <c r="OTD7" s="2206"/>
      <c r="OTE7" s="2206"/>
      <c r="OTF7" s="2206"/>
      <c r="OTG7" s="2206"/>
      <c r="OTH7" s="2206"/>
      <c r="OTI7" s="2206"/>
      <c r="OTJ7" s="2206"/>
      <c r="OTK7" s="2206"/>
      <c r="OTL7" s="2206"/>
      <c r="OTM7" s="2206"/>
      <c r="OTN7" s="2206"/>
      <c r="OTO7" s="2206"/>
      <c r="OTP7" s="2206"/>
      <c r="OTQ7" s="2206"/>
      <c r="OTR7" s="2206"/>
      <c r="OTS7" s="2206"/>
      <c r="OTT7" s="2206"/>
      <c r="OTU7" s="2206"/>
      <c r="OTV7" s="2206"/>
      <c r="OTW7" s="2206"/>
      <c r="OTX7" s="2206"/>
      <c r="OTY7" s="2206"/>
      <c r="OTZ7" s="2206"/>
      <c r="OUA7" s="2206"/>
      <c r="OUB7" s="2206"/>
      <c r="OUC7" s="2206"/>
      <c r="OUD7" s="2206"/>
      <c r="OUE7" s="2206"/>
      <c r="OUF7" s="2206"/>
      <c r="OUG7" s="2206"/>
      <c r="OUH7" s="2206"/>
      <c r="OUI7" s="2206"/>
      <c r="OUJ7" s="2206"/>
      <c r="OUK7" s="2206"/>
      <c r="OUL7" s="2206"/>
      <c r="OUM7" s="2206"/>
      <c r="OUN7" s="2206"/>
      <c r="OUO7" s="2206"/>
      <c r="OUP7" s="2206"/>
      <c r="OUQ7" s="2206"/>
      <c r="OUR7" s="2206"/>
      <c r="OUS7" s="2206"/>
      <c r="OUT7" s="2206"/>
      <c r="OUU7" s="2206"/>
      <c r="OUV7" s="2206"/>
      <c r="OUW7" s="2206"/>
      <c r="OUX7" s="2206"/>
      <c r="OUY7" s="2206"/>
      <c r="OUZ7" s="2206"/>
      <c r="OVA7" s="2206"/>
      <c r="OVB7" s="2206"/>
      <c r="OVC7" s="2206"/>
      <c r="OVD7" s="2206"/>
      <c r="OVE7" s="2206"/>
      <c r="OVF7" s="2206"/>
      <c r="OVG7" s="2206"/>
      <c r="OVH7" s="2206"/>
      <c r="OVI7" s="2206"/>
      <c r="OVJ7" s="2206"/>
      <c r="OVK7" s="2206"/>
      <c r="OVL7" s="2206"/>
      <c r="OVM7" s="2206"/>
      <c r="OVN7" s="2206"/>
      <c r="OVO7" s="2206"/>
      <c r="OVP7" s="2206"/>
      <c r="OVQ7" s="2206"/>
      <c r="OVR7" s="2206"/>
      <c r="OVS7" s="2206"/>
      <c r="OVT7" s="2206"/>
      <c r="OVU7" s="2206"/>
      <c r="OVV7" s="2206"/>
      <c r="OVW7" s="2206"/>
      <c r="OVX7" s="2206"/>
      <c r="OVY7" s="2206"/>
      <c r="OVZ7" s="2206"/>
      <c r="OWA7" s="2206"/>
      <c r="OWB7" s="2206"/>
      <c r="OWC7" s="2206"/>
      <c r="OWD7" s="2206"/>
      <c r="OWE7" s="2206"/>
      <c r="OWF7" s="2206"/>
      <c r="OWG7" s="2206"/>
      <c r="OWH7" s="2206"/>
      <c r="OWI7" s="2206"/>
      <c r="OWJ7" s="2206"/>
      <c r="OWK7" s="2206"/>
      <c r="OWL7" s="2206"/>
      <c r="OWM7" s="2206"/>
      <c r="OWN7" s="2206"/>
      <c r="OWO7" s="2206"/>
      <c r="OWP7" s="2206"/>
      <c r="OWQ7" s="2206"/>
      <c r="OWR7" s="2206"/>
      <c r="OWS7" s="2206"/>
      <c r="OWT7" s="2206"/>
      <c r="OWU7" s="2206"/>
      <c r="OWV7" s="2206"/>
      <c r="OWW7" s="2206"/>
      <c r="OWX7" s="2206"/>
      <c r="OWY7" s="2206"/>
      <c r="OWZ7" s="2206"/>
      <c r="OXA7" s="2206"/>
      <c r="OXB7" s="2206"/>
      <c r="OXC7" s="2206"/>
      <c r="OXD7" s="2206"/>
      <c r="OXE7" s="2206"/>
      <c r="OXF7" s="2206"/>
      <c r="OXG7" s="2206"/>
      <c r="OXH7" s="2206"/>
      <c r="OXI7" s="2206"/>
      <c r="OXJ7" s="2206"/>
      <c r="OXK7" s="2206"/>
      <c r="OXL7" s="2206"/>
      <c r="OXM7" s="2206"/>
      <c r="OXN7" s="2206"/>
      <c r="OXO7" s="2206"/>
      <c r="OXP7" s="2206"/>
      <c r="OXQ7" s="2206"/>
      <c r="OXR7" s="2206"/>
      <c r="OXS7" s="2206"/>
      <c r="OXT7" s="2206"/>
      <c r="OXU7" s="2206"/>
      <c r="OXV7" s="2206"/>
      <c r="OXW7" s="2206"/>
      <c r="OXX7" s="2206"/>
      <c r="OXY7" s="2206"/>
      <c r="OXZ7" s="2206"/>
      <c r="OYA7" s="2206"/>
      <c r="OYB7" s="2206"/>
      <c r="OYC7" s="2206"/>
      <c r="OYD7" s="2206"/>
      <c r="OYE7" s="2206"/>
      <c r="OYF7" s="2206"/>
      <c r="OYG7" s="2206"/>
      <c r="OYH7" s="2206"/>
      <c r="OYI7" s="2206"/>
      <c r="OYJ7" s="2206"/>
      <c r="OYK7" s="2206"/>
      <c r="OYL7" s="2206"/>
      <c r="OYM7" s="2206"/>
      <c r="OYN7" s="2206"/>
      <c r="OYO7" s="2206"/>
      <c r="OYP7" s="2206"/>
      <c r="OYQ7" s="2206"/>
      <c r="OYR7" s="2206"/>
      <c r="OYS7" s="2206"/>
      <c r="OYT7" s="2206"/>
      <c r="OYU7" s="2206"/>
      <c r="OYV7" s="2206"/>
      <c r="OYW7" s="2206"/>
      <c r="OYX7" s="2206"/>
      <c r="OYY7" s="2206"/>
      <c r="OYZ7" s="2206"/>
      <c r="OZA7" s="2206"/>
      <c r="OZB7" s="2206"/>
      <c r="OZC7" s="2206"/>
      <c r="OZD7" s="2206"/>
      <c r="OZE7" s="2206"/>
      <c r="OZF7" s="2206"/>
      <c r="OZG7" s="2206"/>
      <c r="OZH7" s="2206"/>
      <c r="OZI7" s="2206"/>
      <c r="OZJ7" s="2206"/>
      <c r="OZK7" s="2206"/>
      <c r="OZL7" s="2206"/>
      <c r="OZM7" s="2206"/>
      <c r="OZN7" s="2206"/>
      <c r="OZO7" s="2206"/>
      <c r="OZP7" s="2206"/>
      <c r="OZQ7" s="2206"/>
      <c r="OZR7" s="2206"/>
      <c r="OZS7" s="2206"/>
      <c r="OZT7" s="2206"/>
      <c r="OZU7" s="2206"/>
      <c r="OZV7" s="2206"/>
      <c r="OZW7" s="2206"/>
      <c r="OZX7" s="2206"/>
      <c r="OZY7" s="2206"/>
      <c r="OZZ7" s="2206"/>
      <c r="PAA7" s="2206"/>
      <c r="PAB7" s="2206"/>
      <c r="PAC7" s="2206"/>
      <c r="PAD7" s="2206"/>
      <c r="PAE7" s="2206"/>
      <c r="PAF7" s="2206"/>
      <c r="PAG7" s="2206"/>
      <c r="PAH7" s="2206"/>
      <c r="PAI7" s="2206"/>
      <c r="PAJ7" s="2206"/>
      <c r="PAK7" s="2206"/>
      <c r="PAL7" s="2206"/>
      <c r="PAM7" s="2206"/>
      <c r="PAN7" s="2206"/>
      <c r="PAO7" s="2206"/>
      <c r="PAP7" s="2206"/>
      <c r="PAQ7" s="2206"/>
      <c r="PAR7" s="2206"/>
      <c r="PAS7" s="2206"/>
      <c r="PAT7" s="2206"/>
      <c r="PAU7" s="2206"/>
      <c r="PAV7" s="2206"/>
      <c r="PAW7" s="2206"/>
      <c r="PAX7" s="2206"/>
      <c r="PAY7" s="2206"/>
      <c r="PAZ7" s="2206"/>
      <c r="PBA7" s="2206"/>
      <c r="PBB7" s="2206"/>
      <c r="PBC7" s="2206"/>
      <c r="PBD7" s="2206"/>
      <c r="PBE7" s="2206"/>
      <c r="PBF7" s="2206"/>
      <c r="PBG7" s="2206"/>
      <c r="PBH7" s="2206"/>
      <c r="PBI7" s="2206"/>
      <c r="PBJ7" s="2206"/>
      <c r="PBK7" s="2206"/>
      <c r="PBL7" s="2206"/>
      <c r="PBM7" s="2206"/>
      <c r="PBN7" s="2206"/>
      <c r="PBO7" s="2206"/>
      <c r="PBP7" s="2206"/>
      <c r="PBQ7" s="2206"/>
      <c r="PBR7" s="2206"/>
      <c r="PBS7" s="2206"/>
      <c r="PBT7" s="2206"/>
      <c r="PBU7" s="2206"/>
      <c r="PBV7" s="2206"/>
      <c r="PBW7" s="2206"/>
      <c r="PBX7" s="2206"/>
      <c r="PBY7" s="2206"/>
      <c r="PBZ7" s="2206"/>
      <c r="PCA7" s="2206"/>
      <c r="PCB7" s="2206"/>
      <c r="PCC7" s="2206"/>
      <c r="PCD7" s="2206"/>
      <c r="PCE7" s="2206"/>
      <c r="PCF7" s="2206"/>
      <c r="PCG7" s="2206"/>
      <c r="PCH7" s="2206"/>
      <c r="PCI7" s="2206"/>
      <c r="PCJ7" s="2206"/>
      <c r="PCK7" s="2206"/>
      <c r="PCL7" s="2206"/>
      <c r="PCM7" s="2206"/>
      <c r="PCN7" s="2206"/>
      <c r="PCO7" s="2206"/>
      <c r="PCP7" s="2206"/>
      <c r="PCQ7" s="2206"/>
      <c r="PCR7" s="2206"/>
      <c r="PCS7" s="2206"/>
      <c r="PCT7" s="2206"/>
      <c r="PCU7" s="2206"/>
      <c r="PCV7" s="2206"/>
      <c r="PCW7" s="2206"/>
      <c r="PCX7" s="2206"/>
      <c r="PCY7" s="2206"/>
      <c r="PCZ7" s="2206"/>
      <c r="PDA7" s="2206"/>
      <c r="PDB7" s="2206"/>
      <c r="PDC7" s="2206"/>
      <c r="PDD7" s="2206"/>
      <c r="PDE7" s="2206"/>
      <c r="PDF7" s="2206"/>
      <c r="PDG7" s="2206"/>
      <c r="PDH7" s="2206"/>
      <c r="PDI7" s="2206"/>
      <c r="PDJ7" s="2206"/>
      <c r="PDK7" s="2206"/>
      <c r="PDL7" s="2206"/>
      <c r="PDM7" s="2206"/>
      <c r="PDN7" s="2206"/>
      <c r="PDO7" s="2206"/>
      <c r="PDP7" s="2206"/>
      <c r="PDQ7" s="2206"/>
      <c r="PDR7" s="2206"/>
      <c r="PDS7" s="2206"/>
      <c r="PDT7" s="2206"/>
      <c r="PDU7" s="2206"/>
      <c r="PDV7" s="2206"/>
      <c r="PDW7" s="2206"/>
      <c r="PDX7" s="2206"/>
      <c r="PDY7" s="2206"/>
      <c r="PDZ7" s="2206"/>
      <c r="PEA7" s="2206"/>
      <c r="PEB7" s="2206"/>
      <c r="PEC7" s="2206"/>
      <c r="PED7" s="2206"/>
      <c r="PEE7" s="2206"/>
      <c r="PEF7" s="2206"/>
      <c r="PEG7" s="2206"/>
      <c r="PEH7" s="2206"/>
      <c r="PEI7" s="2206"/>
      <c r="PEJ7" s="2206"/>
      <c r="PEK7" s="2206"/>
      <c r="PEL7" s="2206"/>
      <c r="PEM7" s="2206"/>
      <c r="PEN7" s="2206"/>
      <c r="PEO7" s="2206"/>
      <c r="PEP7" s="2206"/>
      <c r="PEQ7" s="2206"/>
      <c r="PER7" s="2206"/>
      <c r="PES7" s="2206"/>
      <c r="PET7" s="2206"/>
      <c r="PEU7" s="2206"/>
      <c r="PEV7" s="2206"/>
      <c r="PEW7" s="2206"/>
      <c r="PEX7" s="2206"/>
      <c r="PEY7" s="2206"/>
      <c r="PEZ7" s="2206"/>
      <c r="PFA7" s="2206"/>
      <c r="PFB7" s="2206"/>
      <c r="PFC7" s="2206"/>
      <c r="PFD7" s="2206"/>
      <c r="PFE7" s="2206"/>
      <c r="PFF7" s="2206"/>
      <c r="PFG7" s="2206"/>
      <c r="PFH7" s="2206"/>
      <c r="PFI7" s="2206"/>
      <c r="PFJ7" s="2206"/>
      <c r="PFK7" s="2206"/>
      <c r="PFL7" s="2206"/>
      <c r="PFM7" s="2206"/>
      <c r="PFN7" s="2206"/>
      <c r="PFO7" s="2206"/>
      <c r="PFP7" s="2206"/>
      <c r="PFQ7" s="2206"/>
      <c r="PFR7" s="2206"/>
      <c r="PFS7" s="2206"/>
      <c r="PFT7" s="2206"/>
      <c r="PFU7" s="2206"/>
      <c r="PFV7" s="2206"/>
      <c r="PFW7" s="2206"/>
      <c r="PFX7" s="2206"/>
      <c r="PFY7" s="2206"/>
      <c r="PFZ7" s="2206"/>
      <c r="PGA7" s="2206"/>
      <c r="PGB7" s="2206"/>
      <c r="PGC7" s="2206"/>
      <c r="PGD7" s="2206"/>
      <c r="PGE7" s="2206"/>
      <c r="PGF7" s="2206"/>
      <c r="PGG7" s="2206"/>
      <c r="PGH7" s="2206"/>
      <c r="PGI7" s="2206"/>
      <c r="PGJ7" s="2206"/>
      <c r="PGK7" s="2206"/>
      <c r="PGL7" s="2206"/>
      <c r="PGM7" s="2206"/>
      <c r="PGN7" s="2206"/>
      <c r="PGO7" s="2206"/>
      <c r="PGP7" s="2206"/>
      <c r="PGQ7" s="2206"/>
      <c r="PGR7" s="2206"/>
      <c r="PGS7" s="2206"/>
      <c r="PGT7" s="2206"/>
      <c r="PGU7" s="2206"/>
      <c r="PGV7" s="2206"/>
      <c r="PGW7" s="2206"/>
      <c r="PGX7" s="2206"/>
      <c r="PGY7" s="2206"/>
      <c r="PGZ7" s="2206"/>
      <c r="PHA7" s="2206"/>
      <c r="PHB7" s="2206"/>
      <c r="PHC7" s="2206"/>
      <c r="PHD7" s="2206"/>
      <c r="PHE7" s="2206"/>
      <c r="PHF7" s="2206"/>
      <c r="PHG7" s="2206"/>
      <c r="PHH7" s="2206"/>
      <c r="PHI7" s="2206"/>
      <c r="PHJ7" s="2206"/>
      <c r="PHK7" s="2206"/>
      <c r="PHL7" s="2206"/>
      <c r="PHM7" s="2206"/>
      <c r="PHN7" s="2206"/>
      <c r="PHO7" s="2206"/>
      <c r="PHP7" s="2206"/>
      <c r="PHQ7" s="2206"/>
      <c r="PHR7" s="2206"/>
      <c r="PHS7" s="2206"/>
      <c r="PHT7" s="2206"/>
      <c r="PHU7" s="2206"/>
      <c r="PHV7" s="2206"/>
      <c r="PHW7" s="2206"/>
      <c r="PHX7" s="2206"/>
      <c r="PHY7" s="2206"/>
      <c r="PHZ7" s="2206"/>
      <c r="PIA7" s="2206"/>
      <c r="PIB7" s="2206"/>
      <c r="PIC7" s="2206"/>
      <c r="PID7" s="2206"/>
      <c r="PIE7" s="2206"/>
      <c r="PIF7" s="2206"/>
      <c r="PIG7" s="2206"/>
      <c r="PIH7" s="2206"/>
      <c r="PII7" s="2206"/>
      <c r="PIJ7" s="2206"/>
      <c r="PIK7" s="2206"/>
      <c r="PIL7" s="2206"/>
      <c r="PIM7" s="2206"/>
      <c r="PIN7" s="2206"/>
      <c r="PIO7" s="2206"/>
      <c r="PIP7" s="2206"/>
      <c r="PIQ7" s="2206"/>
      <c r="PIR7" s="2206"/>
      <c r="PIS7" s="2206"/>
      <c r="PIT7" s="2206"/>
      <c r="PIU7" s="2206"/>
      <c r="PIV7" s="2206"/>
      <c r="PIW7" s="2206"/>
      <c r="PIX7" s="2206"/>
      <c r="PIY7" s="2206"/>
      <c r="PIZ7" s="2206"/>
      <c r="PJA7" s="2206"/>
      <c r="PJB7" s="2206"/>
      <c r="PJC7" s="2206"/>
      <c r="PJD7" s="2206"/>
      <c r="PJE7" s="2206"/>
      <c r="PJF7" s="2206"/>
      <c r="PJG7" s="2206"/>
      <c r="PJH7" s="2206"/>
      <c r="PJI7" s="2206"/>
      <c r="PJJ7" s="2206"/>
      <c r="PJK7" s="2206"/>
      <c r="PJL7" s="2206"/>
      <c r="PJM7" s="2206"/>
      <c r="PJN7" s="2206"/>
      <c r="PJO7" s="2206"/>
      <c r="PJP7" s="2206"/>
      <c r="PJQ7" s="2206"/>
      <c r="PJR7" s="2206"/>
      <c r="PJS7" s="2206"/>
      <c r="PJT7" s="2206"/>
      <c r="PJU7" s="2206"/>
      <c r="PJV7" s="2206"/>
      <c r="PJW7" s="2206"/>
      <c r="PJX7" s="2206"/>
      <c r="PJY7" s="2206"/>
      <c r="PJZ7" s="2206"/>
      <c r="PKA7" s="2206"/>
      <c r="PKB7" s="2206"/>
      <c r="PKC7" s="2206"/>
      <c r="PKD7" s="2206"/>
      <c r="PKE7" s="2206"/>
      <c r="PKF7" s="2206"/>
      <c r="PKG7" s="2206"/>
      <c r="PKH7" s="2206"/>
      <c r="PKI7" s="2206"/>
      <c r="PKJ7" s="2206"/>
      <c r="PKK7" s="2206"/>
      <c r="PKL7" s="2206"/>
      <c r="PKM7" s="2206"/>
      <c r="PKN7" s="2206"/>
      <c r="PKO7" s="2206"/>
      <c r="PKP7" s="2206"/>
      <c r="PKQ7" s="2206"/>
      <c r="PKR7" s="2206"/>
      <c r="PKS7" s="2206"/>
      <c r="PKT7" s="2206"/>
      <c r="PKU7" s="2206"/>
      <c r="PKV7" s="2206"/>
      <c r="PKW7" s="2206"/>
      <c r="PKX7" s="2206"/>
      <c r="PKY7" s="2206"/>
      <c r="PKZ7" s="2206"/>
      <c r="PLA7" s="2206"/>
      <c r="PLB7" s="2206"/>
      <c r="PLC7" s="2206"/>
      <c r="PLD7" s="2206"/>
      <c r="PLE7" s="2206"/>
      <c r="PLF7" s="2206"/>
      <c r="PLG7" s="2206"/>
      <c r="PLH7" s="2206"/>
      <c r="PLI7" s="2206"/>
      <c r="PLJ7" s="2206"/>
      <c r="PLK7" s="2206"/>
      <c r="PLL7" s="2206"/>
      <c r="PLM7" s="2206"/>
      <c r="PLN7" s="2206"/>
      <c r="PLO7" s="2206"/>
      <c r="PLP7" s="2206"/>
      <c r="PLQ7" s="2206"/>
      <c r="PLR7" s="2206"/>
      <c r="PLS7" s="2206"/>
      <c r="PLT7" s="2206"/>
      <c r="PLU7" s="2206"/>
      <c r="PLV7" s="2206"/>
      <c r="PLW7" s="2206"/>
      <c r="PLX7" s="2206"/>
      <c r="PLY7" s="2206"/>
      <c r="PLZ7" s="2206"/>
      <c r="PMA7" s="2206"/>
      <c r="PMB7" s="2206"/>
      <c r="PMC7" s="2206"/>
      <c r="PMD7" s="2206"/>
      <c r="PME7" s="2206"/>
      <c r="PMF7" s="2206"/>
      <c r="PMG7" s="2206"/>
      <c r="PMH7" s="2206"/>
      <c r="PMI7" s="2206"/>
      <c r="PMJ7" s="2206"/>
      <c r="PMK7" s="2206"/>
      <c r="PML7" s="2206"/>
      <c r="PMM7" s="2206"/>
      <c r="PMN7" s="2206"/>
      <c r="PMO7" s="2206"/>
      <c r="PMP7" s="2206"/>
      <c r="PMQ7" s="2206"/>
      <c r="PMR7" s="2206"/>
      <c r="PMS7" s="2206"/>
      <c r="PMT7" s="2206"/>
      <c r="PMU7" s="2206"/>
      <c r="PMV7" s="2206"/>
      <c r="PMW7" s="2206"/>
      <c r="PMX7" s="2206"/>
      <c r="PMY7" s="2206"/>
      <c r="PMZ7" s="2206"/>
      <c r="PNA7" s="2206"/>
      <c r="PNB7" s="2206"/>
      <c r="PNC7" s="2206"/>
      <c r="PND7" s="2206"/>
      <c r="PNE7" s="2206"/>
      <c r="PNF7" s="2206"/>
      <c r="PNG7" s="2206"/>
      <c r="PNH7" s="2206"/>
      <c r="PNI7" s="2206"/>
      <c r="PNJ7" s="2206"/>
      <c r="PNK7" s="2206"/>
      <c r="PNL7" s="2206"/>
      <c r="PNM7" s="2206"/>
      <c r="PNN7" s="2206"/>
      <c r="PNO7" s="2206"/>
      <c r="PNP7" s="2206"/>
      <c r="PNQ7" s="2206"/>
      <c r="PNR7" s="2206"/>
      <c r="PNS7" s="2206"/>
      <c r="PNT7" s="2206"/>
      <c r="PNU7" s="2206"/>
      <c r="PNV7" s="2206"/>
      <c r="PNW7" s="2206"/>
      <c r="PNX7" s="2206"/>
      <c r="PNY7" s="2206"/>
      <c r="PNZ7" s="2206"/>
      <c r="POA7" s="2206"/>
      <c r="POB7" s="2206"/>
      <c r="POC7" s="2206"/>
      <c r="POD7" s="2206"/>
      <c r="POE7" s="2206"/>
      <c r="POF7" s="2206"/>
      <c r="POG7" s="2206"/>
      <c r="POH7" s="2206"/>
      <c r="POI7" s="2206"/>
      <c r="POJ7" s="2206"/>
      <c r="POK7" s="2206"/>
      <c r="POL7" s="2206"/>
      <c r="POM7" s="2206"/>
      <c r="PON7" s="2206"/>
      <c r="POO7" s="2206"/>
      <c r="POP7" s="2206"/>
      <c r="POQ7" s="2206"/>
      <c r="POR7" s="2206"/>
      <c r="POS7" s="2206"/>
      <c r="POT7" s="2206"/>
      <c r="POU7" s="2206"/>
      <c r="POV7" s="2206"/>
      <c r="POW7" s="2206"/>
      <c r="POX7" s="2206"/>
      <c r="POY7" s="2206"/>
      <c r="POZ7" s="2206"/>
      <c r="PPA7" s="2206"/>
      <c r="PPB7" s="2206"/>
      <c r="PPC7" s="2206"/>
      <c r="PPD7" s="2206"/>
      <c r="PPE7" s="2206"/>
      <c r="PPF7" s="2206"/>
      <c r="PPG7" s="2206"/>
      <c r="PPH7" s="2206"/>
      <c r="PPI7" s="2206"/>
      <c r="PPJ7" s="2206"/>
      <c r="PPK7" s="2206"/>
      <c r="PPL7" s="2206"/>
      <c r="PPM7" s="2206"/>
      <c r="PPN7" s="2206"/>
      <c r="PPO7" s="2206"/>
      <c r="PPP7" s="2206"/>
      <c r="PPQ7" s="2206"/>
      <c r="PPR7" s="2206"/>
      <c r="PPS7" s="2206"/>
      <c r="PPT7" s="2206"/>
      <c r="PPU7" s="2206"/>
      <c r="PPV7" s="2206"/>
      <c r="PPW7" s="2206"/>
      <c r="PPX7" s="2206"/>
      <c r="PPY7" s="2206"/>
      <c r="PPZ7" s="2206"/>
      <c r="PQA7" s="2206"/>
      <c r="PQB7" s="2206"/>
      <c r="PQC7" s="2206"/>
      <c r="PQD7" s="2206"/>
      <c r="PQE7" s="2206"/>
      <c r="PQF7" s="2206"/>
      <c r="PQG7" s="2206"/>
      <c r="PQH7" s="2206"/>
      <c r="PQI7" s="2206"/>
      <c r="PQJ7" s="2206"/>
      <c r="PQK7" s="2206"/>
      <c r="PQL7" s="2206"/>
      <c r="PQM7" s="2206"/>
      <c r="PQN7" s="2206"/>
      <c r="PQO7" s="2206"/>
      <c r="PQP7" s="2206"/>
      <c r="PQQ7" s="2206"/>
      <c r="PQR7" s="2206"/>
      <c r="PQS7" s="2206"/>
      <c r="PQT7" s="2206"/>
      <c r="PQU7" s="2206"/>
      <c r="PQV7" s="2206"/>
      <c r="PQW7" s="2206"/>
      <c r="PQX7" s="2206"/>
      <c r="PQY7" s="2206"/>
      <c r="PQZ7" s="2206"/>
      <c r="PRA7" s="2206"/>
      <c r="PRB7" s="2206"/>
      <c r="PRC7" s="2206"/>
      <c r="PRD7" s="2206"/>
      <c r="PRE7" s="2206"/>
      <c r="PRF7" s="2206"/>
      <c r="PRG7" s="2206"/>
      <c r="PRH7" s="2206"/>
      <c r="PRI7" s="2206"/>
      <c r="PRJ7" s="2206"/>
      <c r="PRK7" s="2206"/>
      <c r="PRL7" s="2206"/>
      <c r="PRM7" s="2206"/>
      <c r="PRN7" s="2206"/>
      <c r="PRO7" s="2206"/>
      <c r="PRP7" s="2206"/>
      <c r="PRQ7" s="2206"/>
      <c r="PRR7" s="2206"/>
      <c r="PRS7" s="2206"/>
      <c r="PRT7" s="2206"/>
      <c r="PRU7" s="2206"/>
      <c r="PRV7" s="2206"/>
      <c r="PRW7" s="2206"/>
      <c r="PRX7" s="2206"/>
      <c r="PRY7" s="2206"/>
      <c r="PRZ7" s="2206"/>
      <c r="PSA7" s="2206"/>
      <c r="PSB7" s="2206"/>
      <c r="PSC7" s="2206"/>
      <c r="PSD7" s="2206"/>
      <c r="PSE7" s="2206"/>
      <c r="PSF7" s="2206"/>
      <c r="PSG7" s="2206"/>
      <c r="PSH7" s="2206"/>
      <c r="PSI7" s="2206"/>
      <c r="PSJ7" s="2206"/>
      <c r="PSK7" s="2206"/>
      <c r="PSL7" s="2206"/>
      <c r="PSM7" s="2206"/>
      <c r="PSN7" s="2206"/>
      <c r="PSO7" s="2206"/>
      <c r="PSP7" s="2206"/>
      <c r="PSQ7" s="2206"/>
      <c r="PSR7" s="2206"/>
      <c r="PSS7" s="2206"/>
      <c r="PST7" s="2206"/>
      <c r="PSU7" s="2206"/>
      <c r="PSV7" s="2206"/>
      <c r="PSW7" s="2206"/>
      <c r="PSX7" s="2206"/>
      <c r="PSY7" s="2206"/>
      <c r="PSZ7" s="2206"/>
      <c r="PTA7" s="2206"/>
      <c r="PTB7" s="2206"/>
      <c r="PTC7" s="2206"/>
      <c r="PTD7" s="2206"/>
      <c r="PTE7" s="2206"/>
      <c r="PTF7" s="2206"/>
      <c r="PTG7" s="2206"/>
      <c r="PTH7" s="2206"/>
      <c r="PTI7" s="2206"/>
      <c r="PTJ7" s="2206"/>
      <c r="PTK7" s="2206"/>
      <c r="PTL7" s="2206"/>
      <c r="PTM7" s="2206"/>
      <c r="PTN7" s="2206"/>
      <c r="PTO7" s="2206"/>
      <c r="PTP7" s="2206"/>
      <c r="PTQ7" s="2206"/>
      <c r="PTR7" s="2206"/>
      <c r="PTS7" s="2206"/>
      <c r="PTT7" s="2206"/>
      <c r="PTU7" s="2206"/>
      <c r="PTV7" s="2206"/>
      <c r="PTW7" s="2206"/>
      <c r="PTX7" s="2206"/>
      <c r="PTY7" s="2206"/>
      <c r="PTZ7" s="2206"/>
      <c r="PUA7" s="2206"/>
      <c r="PUB7" s="2206"/>
      <c r="PUC7" s="2206"/>
      <c r="PUD7" s="2206"/>
      <c r="PUE7" s="2206"/>
      <c r="PUF7" s="2206"/>
      <c r="PUG7" s="2206"/>
      <c r="PUH7" s="2206"/>
      <c r="PUI7" s="2206"/>
      <c r="PUJ7" s="2206"/>
      <c r="PUK7" s="2206"/>
      <c r="PUL7" s="2206"/>
      <c r="PUM7" s="2206"/>
      <c r="PUN7" s="2206"/>
      <c r="PUO7" s="2206"/>
      <c r="PUP7" s="2206"/>
      <c r="PUQ7" s="2206"/>
      <c r="PUR7" s="2206"/>
      <c r="PUS7" s="2206"/>
      <c r="PUT7" s="2206"/>
      <c r="PUU7" s="2206"/>
      <c r="PUV7" s="2206"/>
      <c r="PUW7" s="2206"/>
      <c r="PUX7" s="2206"/>
      <c r="PUY7" s="2206"/>
      <c r="PUZ7" s="2206"/>
      <c r="PVA7" s="2206"/>
      <c r="PVB7" s="2206"/>
      <c r="PVC7" s="2206"/>
      <c r="PVD7" s="2206"/>
      <c r="PVE7" s="2206"/>
      <c r="PVF7" s="2206"/>
      <c r="PVG7" s="2206"/>
      <c r="PVH7" s="2206"/>
      <c r="PVI7" s="2206"/>
      <c r="PVJ7" s="2206"/>
      <c r="PVK7" s="2206"/>
      <c r="PVL7" s="2206"/>
      <c r="PVM7" s="2206"/>
      <c r="PVN7" s="2206"/>
      <c r="PVO7" s="2206"/>
      <c r="PVP7" s="2206"/>
      <c r="PVQ7" s="2206"/>
      <c r="PVR7" s="2206"/>
      <c r="PVS7" s="2206"/>
      <c r="PVT7" s="2206"/>
      <c r="PVU7" s="2206"/>
      <c r="PVV7" s="2206"/>
      <c r="PVW7" s="2206"/>
      <c r="PVX7" s="2206"/>
      <c r="PVY7" s="2206"/>
      <c r="PVZ7" s="2206"/>
      <c r="PWA7" s="2206"/>
      <c r="PWB7" s="2206"/>
      <c r="PWC7" s="2206"/>
      <c r="PWD7" s="2206"/>
      <c r="PWE7" s="2206"/>
      <c r="PWF7" s="2206"/>
      <c r="PWG7" s="2206"/>
      <c r="PWH7" s="2206"/>
      <c r="PWI7" s="2206"/>
      <c r="PWJ7" s="2206"/>
      <c r="PWK7" s="2206"/>
      <c r="PWL7" s="2206"/>
      <c r="PWM7" s="2206"/>
      <c r="PWN7" s="2206"/>
      <c r="PWO7" s="2206"/>
      <c r="PWP7" s="2206"/>
      <c r="PWQ7" s="2206"/>
      <c r="PWR7" s="2206"/>
      <c r="PWS7" s="2206"/>
      <c r="PWT7" s="2206"/>
      <c r="PWU7" s="2206"/>
      <c r="PWV7" s="2206"/>
      <c r="PWW7" s="2206"/>
      <c r="PWX7" s="2206"/>
      <c r="PWY7" s="2206"/>
      <c r="PWZ7" s="2206"/>
      <c r="PXA7" s="2206"/>
      <c r="PXB7" s="2206"/>
      <c r="PXC7" s="2206"/>
      <c r="PXD7" s="2206"/>
      <c r="PXE7" s="2206"/>
      <c r="PXF7" s="2206"/>
      <c r="PXG7" s="2206"/>
      <c r="PXH7" s="2206"/>
      <c r="PXI7" s="2206"/>
      <c r="PXJ7" s="2206"/>
      <c r="PXK7" s="2206"/>
      <c r="PXL7" s="2206"/>
      <c r="PXM7" s="2206"/>
      <c r="PXN7" s="2206"/>
      <c r="PXO7" s="2206"/>
      <c r="PXP7" s="2206"/>
      <c r="PXQ7" s="2206"/>
      <c r="PXR7" s="2206"/>
      <c r="PXS7" s="2206"/>
      <c r="PXT7" s="2206"/>
      <c r="PXU7" s="2206"/>
      <c r="PXV7" s="2206"/>
      <c r="PXW7" s="2206"/>
      <c r="PXX7" s="2206"/>
      <c r="PXY7" s="2206"/>
      <c r="PXZ7" s="2206"/>
      <c r="PYA7" s="2206"/>
      <c r="PYB7" s="2206"/>
      <c r="PYC7" s="2206"/>
      <c r="PYD7" s="2206"/>
      <c r="PYE7" s="2206"/>
      <c r="PYF7" s="2206"/>
      <c r="PYG7" s="2206"/>
      <c r="PYH7" s="2206"/>
      <c r="PYI7" s="2206"/>
      <c r="PYJ7" s="2206"/>
      <c r="PYK7" s="2206"/>
      <c r="PYL7" s="2206"/>
      <c r="PYM7" s="2206"/>
      <c r="PYN7" s="2206"/>
      <c r="PYO7" s="2206"/>
      <c r="PYP7" s="2206"/>
      <c r="PYQ7" s="2206"/>
      <c r="PYR7" s="2206"/>
      <c r="PYS7" s="2206"/>
      <c r="PYT7" s="2206"/>
      <c r="PYU7" s="2206"/>
      <c r="PYV7" s="2206"/>
      <c r="PYW7" s="2206"/>
      <c r="PYX7" s="2206"/>
      <c r="PYY7" s="2206"/>
      <c r="PYZ7" s="2206"/>
      <c r="PZA7" s="2206"/>
      <c r="PZB7" s="2206"/>
      <c r="PZC7" s="2206"/>
      <c r="PZD7" s="2206"/>
      <c r="PZE7" s="2206"/>
      <c r="PZF7" s="2206"/>
      <c r="PZG7" s="2206"/>
      <c r="PZH7" s="2206"/>
      <c r="PZI7" s="2206"/>
      <c r="PZJ7" s="2206"/>
      <c r="PZK7" s="2206"/>
      <c r="PZL7" s="2206"/>
      <c r="PZM7" s="2206"/>
      <c r="PZN7" s="2206"/>
      <c r="PZO7" s="2206"/>
      <c r="PZP7" s="2206"/>
      <c r="PZQ7" s="2206"/>
      <c r="PZR7" s="2206"/>
      <c r="PZS7" s="2206"/>
      <c r="PZT7" s="2206"/>
      <c r="PZU7" s="2206"/>
      <c r="PZV7" s="2206"/>
      <c r="PZW7" s="2206"/>
      <c r="PZX7" s="2206"/>
      <c r="PZY7" s="2206"/>
      <c r="PZZ7" s="2206"/>
      <c r="QAA7" s="2206"/>
      <c r="QAB7" s="2206"/>
      <c r="QAC7" s="2206"/>
      <c r="QAD7" s="2206"/>
      <c r="QAE7" s="2206"/>
      <c r="QAF7" s="2206"/>
      <c r="QAG7" s="2206"/>
      <c r="QAH7" s="2206"/>
      <c r="QAI7" s="2206"/>
      <c r="QAJ7" s="2206"/>
      <c r="QAK7" s="2206"/>
      <c r="QAL7" s="2206"/>
      <c r="QAM7" s="2206"/>
      <c r="QAN7" s="2206"/>
      <c r="QAO7" s="2206"/>
      <c r="QAP7" s="2206"/>
      <c r="QAQ7" s="2206"/>
      <c r="QAR7" s="2206"/>
      <c r="QAS7" s="2206"/>
      <c r="QAT7" s="2206"/>
      <c r="QAU7" s="2206"/>
      <c r="QAV7" s="2206"/>
      <c r="QAW7" s="2206"/>
      <c r="QAX7" s="2206"/>
      <c r="QAY7" s="2206"/>
      <c r="QAZ7" s="2206"/>
      <c r="QBA7" s="2206"/>
      <c r="QBB7" s="2206"/>
      <c r="QBC7" s="2206"/>
      <c r="QBD7" s="2206"/>
      <c r="QBE7" s="2206"/>
      <c r="QBF7" s="2206"/>
      <c r="QBG7" s="2206"/>
      <c r="QBH7" s="2206"/>
      <c r="QBI7" s="2206"/>
      <c r="QBJ7" s="2206"/>
      <c r="QBK7" s="2206"/>
      <c r="QBL7" s="2206"/>
      <c r="QBM7" s="2206"/>
      <c r="QBN7" s="2206"/>
      <c r="QBO7" s="2206"/>
      <c r="QBP7" s="2206"/>
      <c r="QBQ7" s="2206"/>
      <c r="QBR7" s="2206"/>
      <c r="QBS7" s="2206"/>
      <c r="QBT7" s="2206"/>
      <c r="QBU7" s="2206"/>
      <c r="QBV7" s="2206"/>
      <c r="QBW7" s="2206"/>
      <c r="QBX7" s="2206"/>
      <c r="QBY7" s="2206"/>
      <c r="QBZ7" s="2206"/>
      <c r="QCA7" s="2206"/>
      <c r="QCB7" s="2206"/>
      <c r="QCC7" s="2206"/>
      <c r="QCD7" s="2206"/>
      <c r="QCE7" s="2206"/>
      <c r="QCF7" s="2206"/>
      <c r="QCG7" s="2206"/>
      <c r="QCH7" s="2206"/>
      <c r="QCI7" s="2206"/>
      <c r="QCJ7" s="2206"/>
      <c r="QCK7" s="2206"/>
      <c r="QCL7" s="2206"/>
      <c r="QCM7" s="2206"/>
      <c r="QCN7" s="2206"/>
      <c r="QCO7" s="2206"/>
      <c r="QCP7" s="2206"/>
      <c r="QCQ7" s="2206"/>
      <c r="QCR7" s="2206"/>
      <c r="QCS7" s="2206"/>
      <c r="QCT7" s="2206"/>
      <c r="QCU7" s="2206"/>
      <c r="QCV7" s="2206"/>
      <c r="QCW7" s="2206"/>
      <c r="QCX7" s="2206"/>
      <c r="QCY7" s="2206"/>
      <c r="QCZ7" s="2206"/>
      <c r="QDA7" s="2206"/>
      <c r="QDB7" s="2206"/>
      <c r="QDC7" s="2206"/>
      <c r="QDD7" s="2206"/>
      <c r="QDE7" s="2206"/>
      <c r="QDF7" s="2206"/>
      <c r="QDG7" s="2206"/>
      <c r="QDH7" s="2206"/>
      <c r="QDI7" s="2206"/>
      <c r="QDJ7" s="2206"/>
      <c r="QDK7" s="2206"/>
      <c r="QDL7" s="2206"/>
      <c r="QDM7" s="2206"/>
      <c r="QDN7" s="2206"/>
      <c r="QDO7" s="2206"/>
      <c r="QDP7" s="2206"/>
      <c r="QDQ7" s="2206"/>
      <c r="QDR7" s="2206"/>
      <c r="QDS7" s="2206"/>
      <c r="QDT7" s="2206"/>
      <c r="QDU7" s="2206"/>
      <c r="QDV7" s="2206"/>
      <c r="QDW7" s="2206"/>
      <c r="QDX7" s="2206"/>
      <c r="QDY7" s="2206"/>
      <c r="QDZ7" s="2206"/>
      <c r="QEA7" s="2206"/>
      <c r="QEB7" s="2206"/>
      <c r="QEC7" s="2206"/>
      <c r="QED7" s="2206"/>
      <c r="QEE7" s="2206"/>
      <c r="QEF7" s="2206"/>
      <c r="QEG7" s="2206"/>
      <c r="QEH7" s="2206"/>
      <c r="QEI7" s="2206"/>
      <c r="QEJ7" s="2206"/>
      <c r="QEK7" s="2206"/>
      <c r="QEL7" s="2206"/>
      <c r="QEM7" s="2206"/>
      <c r="QEN7" s="2206"/>
      <c r="QEO7" s="2206"/>
      <c r="QEP7" s="2206"/>
      <c r="QEQ7" s="2206"/>
      <c r="QER7" s="2206"/>
      <c r="QES7" s="2206"/>
      <c r="QET7" s="2206"/>
      <c r="QEU7" s="2206"/>
      <c r="QEV7" s="2206"/>
      <c r="QEW7" s="2206"/>
      <c r="QEX7" s="2206"/>
      <c r="QEY7" s="2206"/>
      <c r="QEZ7" s="2206"/>
      <c r="QFA7" s="2206"/>
      <c r="QFB7" s="2206"/>
      <c r="QFC7" s="2206"/>
      <c r="QFD7" s="2206"/>
      <c r="QFE7" s="2206"/>
      <c r="QFF7" s="2206"/>
      <c r="QFG7" s="2206"/>
      <c r="QFH7" s="2206"/>
      <c r="QFI7" s="2206"/>
      <c r="QFJ7" s="2206"/>
      <c r="QFK7" s="2206"/>
      <c r="QFL7" s="2206"/>
      <c r="QFM7" s="2206"/>
      <c r="QFN7" s="2206"/>
      <c r="QFO7" s="2206"/>
      <c r="QFP7" s="2206"/>
      <c r="QFQ7" s="2206"/>
      <c r="QFR7" s="2206"/>
      <c r="QFS7" s="2206"/>
      <c r="QFT7" s="2206"/>
      <c r="QFU7" s="2206"/>
      <c r="QFV7" s="2206"/>
      <c r="QFW7" s="2206"/>
      <c r="QFX7" s="2206"/>
      <c r="QFY7" s="2206"/>
      <c r="QFZ7" s="2206"/>
      <c r="QGA7" s="2206"/>
      <c r="QGB7" s="2206"/>
      <c r="QGC7" s="2206"/>
      <c r="QGD7" s="2206"/>
      <c r="QGE7" s="2206"/>
      <c r="QGF7" s="2206"/>
      <c r="QGG7" s="2206"/>
      <c r="QGH7" s="2206"/>
      <c r="QGI7" s="2206"/>
      <c r="QGJ7" s="2206"/>
      <c r="QGK7" s="2206"/>
      <c r="QGL7" s="2206"/>
      <c r="QGM7" s="2206"/>
      <c r="QGN7" s="2206"/>
      <c r="QGO7" s="2206"/>
      <c r="QGP7" s="2206"/>
      <c r="QGQ7" s="2206"/>
      <c r="QGR7" s="2206"/>
      <c r="QGS7" s="2206"/>
      <c r="QGT7" s="2206"/>
      <c r="QGU7" s="2206"/>
      <c r="QGV7" s="2206"/>
      <c r="QGW7" s="2206"/>
      <c r="QGX7" s="2206"/>
      <c r="QGY7" s="2206"/>
      <c r="QGZ7" s="2206"/>
      <c r="QHA7" s="2206"/>
      <c r="QHB7" s="2206"/>
      <c r="QHC7" s="2206"/>
      <c r="QHD7" s="2206"/>
      <c r="QHE7" s="2206"/>
      <c r="QHF7" s="2206"/>
      <c r="QHG7" s="2206"/>
      <c r="QHH7" s="2206"/>
      <c r="QHI7" s="2206"/>
      <c r="QHJ7" s="2206"/>
      <c r="QHK7" s="2206"/>
      <c r="QHL7" s="2206"/>
      <c r="QHM7" s="2206"/>
      <c r="QHN7" s="2206"/>
      <c r="QHO7" s="2206"/>
      <c r="QHP7" s="2206"/>
      <c r="QHQ7" s="2206"/>
      <c r="QHR7" s="2206"/>
      <c r="QHS7" s="2206"/>
      <c r="QHT7" s="2206"/>
      <c r="QHU7" s="2206"/>
      <c r="QHV7" s="2206"/>
      <c r="QHW7" s="2206"/>
      <c r="QHX7" s="2206"/>
      <c r="QHY7" s="2206"/>
      <c r="QHZ7" s="2206"/>
      <c r="QIA7" s="2206"/>
      <c r="QIB7" s="2206"/>
      <c r="QIC7" s="2206"/>
      <c r="QID7" s="2206"/>
      <c r="QIE7" s="2206"/>
      <c r="QIF7" s="2206"/>
      <c r="QIG7" s="2206"/>
      <c r="QIH7" s="2206"/>
      <c r="QII7" s="2206"/>
      <c r="QIJ7" s="2206"/>
      <c r="QIK7" s="2206"/>
      <c r="QIL7" s="2206"/>
      <c r="QIM7" s="2206"/>
      <c r="QIN7" s="2206"/>
      <c r="QIO7" s="2206"/>
      <c r="QIP7" s="2206"/>
      <c r="QIQ7" s="2206"/>
      <c r="QIR7" s="2206"/>
      <c r="QIS7" s="2206"/>
      <c r="QIT7" s="2206"/>
      <c r="QIU7" s="2206"/>
      <c r="QIV7" s="2206"/>
      <c r="QIW7" s="2206"/>
      <c r="QIX7" s="2206"/>
      <c r="QIY7" s="2206"/>
      <c r="QIZ7" s="2206"/>
      <c r="QJA7" s="2206"/>
      <c r="QJB7" s="2206"/>
      <c r="QJC7" s="2206"/>
      <c r="QJD7" s="2206"/>
      <c r="QJE7" s="2206"/>
      <c r="QJF7" s="2206"/>
      <c r="QJG7" s="2206"/>
      <c r="QJH7" s="2206"/>
      <c r="QJI7" s="2206"/>
      <c r="QJJ7" s="2206"/>
      <c r="QJK7" s="2206"/>
      <c r="QJL7" s="2206"/>
      <c r="QJM7" s="2206"/>
      <c r="QJN7" s="2206"/>
      <c r="QJO7" s="2206"/>
      <c r="QJP7" s="2206"/>
      <c r="QJQ7" s="2206"/>
      <c r="QJR7" s="2206"/>
      <c r="QJS7" s="2206"/>
      <c r="QJT7" s="2206"/>
      <c r="QJU7" s="2206"/>
      <c r="QJV7" s="2206"/>
      <c r="QJW7" s="2206"/>
      <c r="QJX7" s="2206"/>
      <c r="QJY7" s="2206"/>
      <c r="QJZ7" s="2206"/>
      <c r="QKA7" s="2206"/>
      <c r="QKB7" s="2206"/>
      <c r="QKC7" s="2206"/>
      <c r="QKD7" s="2206"/>
      <c r="QKE7" s="2206"/>
      <c r="QKF7" s="2206"/>
      <c r="QKG7" s="2206"/>
      <c r="QKH7" s="2206"/>
      <c r="QKI7" s="2206"/>
      <c r="QKJ7" s="2206"/>
      <c r="QKK7" s="2206"/>
      <c r="QKL7" s="2206"/>
      <c r="QKM7" s="2206"/>
      <c r="QKN7" s="2206"/>
      <c r="QKO7" s="2206"/>
      <c r="QKP7" s="2206"/>
      <c r="QKQ7" s="2206"/>
      <c r="QKR7" s="2206"/>
      <c r="QKS7" s="2206"/>
      <c r="QKT7" s="2206"/>
      <c r="QKU7" s="2206"/>
      <c r="QKV7" s="2206"/>
      <c r="QKW7" s="2206"/>
      <c r="QKX7" s="2206"/>
      <c r="QKY7" s="2206"/>
      <c r="QKZ7" s="2206"/>
      <c r="QLA7" s="2206"/>
      <c r="QLB7" s="2206"/>
      <c r="QLC7" s="2206"/>
      <c r="QLD7" s="2206"/>
      <c r="QLE7" s="2206"/>
      <c r="QLF7" s="2206"/>
      <c r="QLG7" s="2206"/>
      <c r="QLH7" s="2206"/>
      <c r="QLI7" s="2206"/>
      <c r="QLJ7" s="2206"/>
      <c r="QLK7" s="2206"/>
      <c r="QLL7" s="2206"/>
      <c r="QLM7" s="2206"/>
      <c r="QLN7" s="2206"/>
      <c r="QLO7" s="2206"/>
      <c r="QLP7" s="2206"/>
      <c r="QLQ7" s="2206"/>
      <c r="QLR7" s="2206"/>
      <c r="QLS7" s="2206"/>
      <c r="QLT7" s="2206"/>
      <c r="QLU7" s="2206"/>
      <c r="QLV7" s="2206"/>
      <c r="QLW7" s="2206"/>
      <c r="QLX7" s="2206"/>
      <c r="QLY7" s="2206"/>
      <c r="QLZ7" s="2206"/>
      <c r="QMA7" s="2206"/>
      <c r="QMB7" s="2206"/>
      <c r="QMC7" s="2206"/>
      <c r="QMD7" s="2206"/>
      <c r="QME7" s="2206"/>
      <c r="QMF7" s="2206"/>
      <c r="QMG7" s="2206"/>
      <c r="QMH7" s="2206"/>
      <c r="QMI7" s="2206"/>
      <c r="QMJ7" s="2206"/>
      <c r="QMK7" s="2206"/>
      <c r="QML7" s="2206"/>
      <c r="QMM7" s="2206"/>
      <c r="QMN7" s="2206"/>
      <c r="QMO7" s="2206"/>
      <c r="QMP7" s="2206"/>
      <c r="QMQ7" s="2206"/>
      <c r="QMR7" s="2206"/>
      <c r="QMS7" s="2206"/>
      <c r="QMT7" s="2206"/>
      <c r="QMU7" s="2206"/>
      <c r="QMV7" s="2206"/>
      <c r="QMW7" s="2206"/>
      <c r="QMX7" s="2206"/>
      <c r="QMY7" s="2206"/>
      <c r="QMZ7" s="2206"/>
      <c r="QNA7" s="2206"/>
      <c r="QNB7" s="2206"/>
      <c r="QNC7" s="2206"/>
      <c r="QND7" s="2206"/>
      <c r="QNE7" s="2206"/>
      <c r="QNF7" s="2206"/>
      <c r="QNG7" s="2206"/>
      <c r="QNH7" s="2206"/>
      <c r="QNI7" s="2206"/>
      <c r="QNJ7" s="2206"/>
      <c r="QNK7" s="2206"/>
      <c r="QNL7" s="2206"/>
      <c r="QNM7" s="2206"/>
      <c r="QNN7" s="2206"/>
      <c r="QNO7" s="2206"/>
      <c r="QNP7" s="2206"/>
      <c r="QNQ7" s="2206"/>
      <c r="QNR7" s="2206"/>
      <c r="QNS7" s="2206"/>
      <c r="QNT7" s="2206"/>
      <c r="QNU7" s="2206"/>
      <c r="QNV7" s="2206"/>
      <c r="QNW7" s="2206"/>
      <c r="QNX7" s="2206"/>
      <c r="QNY7" s="2206"/>
      <c r="QNZ7" s="2206"/>
      <c r="QOA7" s="2206"/>
      <c r="QOB7" s="2206"/>
      <c r="QOC7" s="2206"/>
      <c r="QOD7" s="2206"/>
      <c r="QOE7" s="2206"/>
      <c r="QOF7" s="2206"/>
      <c r="QOG7" s="2206"/>
      <c r="QOH7" s="2206"/>
      <c r="QOI7" s="2206"/>
      <c r="QOJ7" s="2206"/>
      <c r="QOK7" s="2206"/>
      <c r="QOL7" s="2206"/>
      <c r="QOM7" s="2206"/>
      <c r="QON7" s="2206"/>
      <c r="QOO7" s="2206"/>
      <c r="QOP7" s="2206"/>
      <c r="QOQ7" s="2206"/>
      <c r="QOR7" s="2206"/>
      <c r="QOS7" s="2206"/>
      <c r="QOT7" s="2206"/>
      <c r="QOU7" s="2206"/>
      <c r="QOV7" s="2206"/>
      <c r="QOW7" s="2206"/>
      <c r="QOX7" s="2206"/>
      <c r="QOY7" s="2206"/>
      <c r="QOZ7" s="2206"/>
      <c r="QPA7" s="2206"/>
      <c r="QPB7" s="2206"/>
      <c r="QPC7" s="2206"/>
      <c r="QPD7" s="2206"/>
      <c r="QPE7" s="2206"/>
      <c r="QPF7" s="2206"/>
      <c r="QPG7" s="2206"/>
      <c r="QPH7" s="2206"/>
      <c r="QPI7" s="2206"/>
      <c r="QPJ7" s="2206"/>
      <c r="QPK7" s="2206"/>
      <c r="QPL7" s="2206"/>
      <c r="QPM7" s="2206"/>
      <c r="QPN7" s="2206"/>
      <c r="QPO7" s="2206"/>
      <c r="QPP7" s="2206"/>
      <c r="QPQ7" s="2206"/>
      <c r="QPR7" s="2206"/>
      <c r="QPS7" s="2206"/>
      <c r="QPT7" s="2206"/>
      <c r="QPU7" s="2206"/>
      <c r="QPV7" s="2206"/>
      <c r="QPW7" s="2206"/>
      <c r="QPX7" s="2206"/>
      <c r="QPY7" s="2206"/>
      <c r="QPZ7" s="2206"/>
      <c r="QQA7" s="2206"/>
      <c r="QQB7" s="2206"/>
      <c r="QQC7" s="2206"/>
      <c r="QQD7" s="2206"/>
      <c r="QQE7" s="2206"/>
      <c r="QQF7" s="2206"/>
      <c r="QQG7" s="2206"/>
      <c r="QQH7" s="2206"/>
      <c r="QQI7" s="2206"/>
      <c r="QQJ7" s="2206"/>
      <c r="QQK7" s="2206"/>
      <c r="QQL7" s="2206"/>
      <c r="QQM7" s="2206"/>
      <c r="QQN7" s="2206"/>
      <c r="QQO7" s="2206"/>
      <c r="QQP7" s="2206"/>
      <c r="QQQ7" s="2206"/>
      <c r="QQR7" s="2206"/>
      <c r="QQS7" s="2206"/>
      <c r="QQT7" s="2206"/>
      <c r="QQU7" s="2206"/>
      <c r="QQV7" s="2206"/>
      <c r="QQW7" s="2206"/>
      <c r="QQX7" s="2206"/>
      <c r="QQY7" s="2206"/>
      <c r="QQZ7" s="2206"/>
      <c r="QRA7" s="2206"/>
      <c r="QRB7" s="2206"/>
      <c r="QRC7" s="2206"/>
      <c r="QRD7" s="2206"/>
      <c r="QRE7" s="2206"/>
      <c r="QRF7" s="2206"/>
      <c r="QRG7" s="2206"/>
      <c r="QRH7" s="2206"/>
      <c r="QRI7" s="2206"/>
      <c r="QRJ7" s="2206"/>
      <c r="QRK7" s="2206"/>
      <c r="QRL7" s="2206"/>
      <c r="QRM7" s="2206"/>
      <c r="QRN7" s="2206"/>
      <c r="QRO7" s="2206"/>
      <c r="QRP7" s="2206"/>
      <c r="QRQ7" s="2206"/>
      <c r="QRR7" s="2206"/>
      <c r="QRS7" s="2206"/>
      <c r="QRT7" s="2206"/>
      <c r="QRU7" s="2206"/>
      <c r="QRV7" s="2206"/>
      <c r="QRW7" s="2206"/>
      <c r="QRX7" s="2206"/>
      <c r="QRY7" s="2206"/>
      <c r="QRZ7" s="2206"/>
      <c r="QSA7" s="2206"/>
      <c r="QSB7" s="2206"/>
      <c r="QSC7" s="2206"/>
      <c r="QSD7" s="2206"/>
      <c r="QSE7" s="2206"/>
      <c r="QSF7" s="2206"/>
      <c r="QSG7" s="2206"/>
      <c r="QSH7" s="2206"/>
      <c r="QSI7" s="2206"/>
      <c r="QSJ7" s="2206"/>
      <c r="QSK7" s="2206"/>
      <c r="QSL7" s="2206"/>
      <c r="QSM7" s="2206"/>
      <c r="QSN7" s="2206"/>
      <c r="QSO7" s="2206"/>
      <c r="QSP7" s="2206"/>
      <c r="QSQ7" s="2206"/>
      <c r="QSR7" s="2206"/>
      <c r="QSS7" s="2206"/>
      <c r="QST7" s="2206"/>
      <c r="QSU7" s="2206"/>
      <c r="QSV7" s="2206"/>
      <c r="QSW7" s="2206"/>
      <c r="QSX7" s="2206"/>
      <c r="QSY7" s="2206"/>
      <c r="QSZ7" s="2206"/>
      <c r="QTA7" s="2206"/>
      <c r="QTB7" s="2206"/>
      <c r="QTC7" s="2206"/>
      <c r="QTD7" s="2206"/>
      <c r="QTE7" s="2206"/>
      <c r="QTF7" s="2206"/>
      <c r="QTG7" s="2206"/>
      <c r="QTH7" s="2206"/>
      <c r="QTI7" s="2206"/>
      <c r="QTJ7" s="2206"/>
      <c r="QTK7" s="2206"/>
      <c r="QTL7" s="2206"/>
      <c r="QTM7" s="2206"/>
      <c r="QTN7" s="2206"/>
      <c r="QTO7" s="2206"/>
      <c r="QTP7" s="2206"/>
      <c r="QTQ7" s="2206"/>
      <c r="QTR7" s="2206"/>
      <c r="QTS7" s="2206"/>
      <c r="QTT7" s="2206"/>
      <c r="QTU7" s="2206"/>
      <c r="QTV7" s="2206"/>
      <c r="QTW7" s="2206"/>
      <c r="QTX7" s="2206"/>
      <c r="QTY7" s="2206"/>
      <c r="QTZ7" s="2206"/>
      <c r="QUA7" s="2206"/>
      <c r="QUB7" s="2206"/>
      <c r="QUC7" s="2206"/>
      <c r="QUD7" s="2206"/>
      <c r="QUE7" s="2206"/>
      <c r="QUF7" s="2206"/>
      <c r="QUG7" s="2206"/>
      <c r="QUH7" s="2206"/>
      <c r="QUI7" s="2206"/>
      <c r="QUJ7" s="2206"/>
      <c r="QUK7" s="2206"/>
      <c r="QUL7" s="2206"/>
      <c r="QUM7" s="2206"/>
      <c r="QUN7" s="2206"/>
      <c r="QUO7" s="2206"/>
      <c r="QUP7" s="2206"/>
      <c r="QUQ7" s="2206"/>
      <c r="QUR7" s="2206"/>
      <c r="QUS7" s="2206"/>
      <c r="QUT7" s="2206"/>
      <c r="QUU7" s="2206"/>
      <c r="QUV7" s="2206"/>
      <c r="QUW7" s="2206"/>
      <c r="QUX7" s="2206"/>
      <c r="QUY7" s="2206"/>
      <c r="QUZ7" s="2206"/>
      <c r="QVA7" s="2206"/>
      <c r="QVB7" s="2206"/>
      <c r="QVC7" s="2206"/>
      <c r="QVD7" s="2206"/>
      <c r="QVE7" s="2206"/>
      <c r="QVF7" s="2206"/>
      <c r="QVG7" s="2206"/>
      <c r="QVH7" s="2206"/>
      <c r="QVI7" s="2206"/>
      <c r="QVJ7" s="2206"/>
      <c r="QVK7" s="2206"/>
      <c r="QVL7" s="2206"/>
      <c r="QVM7" s="2206"/>
      <c r="QVN7" s="2206"/>
      <c r="QVO7" s="2206"/>
      <c r="QVP7" s="2206"/>
      <c r="QVQ7" s="2206"/>
      <c r="QVR7" s="2206"/>
      <c r="QVS7" s="2206"/>
      <c r="QVT7" s="2206"/>
      <c r="QVU7" s="2206"/>
      <c r="QVV7" s="2206"/>
      <c r="QVW7" s="2206"/>
      <c r="QVX7" s="2206"/>
      <c r="QVY7" s="2206"/>
      <c r="QVZ7" s="2206"/>
      <c r="QWA7" s="2206"/>
      <c r="QWB7" s="2206"/>
      <c r="QWC7" s="2206"/>
      <c r="QWD7" s="2206"/>
      <c r="QWE7" s="2206"/>
      <c r="QWF7" s="2206"/>
      <c r="QWG7" s="2206"/>
      <c r="QWH7" s="2206"/>
      <c r="QWI7" s="2206"/>
      <c r="QWJ7" s="2206"/>
      <c r="QWK7" s="2206"/>
      <c r="QWL7" s="2206"/>
      <c r="QWM7" s="2206"/>
      <c r="QWN7" s="2206"/>
      <c r="QWO7" s="2206"/>
      <c r="QWP7" s="2206"/>
      <c r="QWQ7" s="2206"/>
      <c r="QWR7" s="2206"/>
      <c r="QWS7" s="2206"/>
      <c r="QWT7" s="2206"/>
      <c r="QWU7" s="2206"/>
      <c r="QWV7" s="2206"/>
      <c r="QWW7" s="2206"/>
      <c r="QWX7" s="2206"/>
      <c r="QWY7" s="2206"/>
      <c r="QWZ7" s="2206"/>
      <c r="QXA7" s="2206"/>
      <c r="QXB7" s="2206"/>
      <c r="QXC7" s="2206"/>
      <c r="QXD7" s="2206"/>
      <c r="QXE7" s="2206"/>
      <c r="QXF7" s="2206"/>
      <c r="QXG7" s="2206"/>
      <c r="QXH7" s="2206"/>
      <c r="QXI7" s="2206"/>
      <c r="QXJ7" s="2206"/>
      <c r="QXK7" s="2206"/>
      <c r="QXL7" s="2206"/>
      <c r="QXM7" s="2206"/>
      <c r="QXN7" s="2206"/>
      <c r="QXO7" s="2206"/>
      <c r="QXP7" s="2206"/>
      <c r="QXQ7" s="2206"/>
      <c r="QXR7" s="2206"/>
      <c r="QXS7" s="2206"/>
      <c r="QXT7" s="2206"/>
      <c r="QXU7" s="2206"/>
      <c r="QXV7" s="2206"/>
      <c r="QXW7" s="2206"/>
      <c r="QXX7" s="2206"/>
      <c r="QXY7" s="2206"/>
      <c r="QXZ7" s="2206"/>
      <c r="QYA7" s="2206"/>
      <c r="QYB7" s="2206"/>
      <c r="QYC7" s="2206"/>
      <c r="QYD7" s="2206"/>
      <c r="QYE7" s="2206"/>
      <c r="QYF7" s="2206"/>
      <c r="QYG7" s="2206"/>
      <c r="QYH7" s="2206"/>
      <c r="QYI7" s="2206"/>
      <c r="QYJ7" s="2206"/>
      <c r="QYK7" s="2206"/>
      <c r="QYL7" s="2206"/>
      <c r="QYM7" s="2206"/>
      <c r="QYN7" s="2206"/>
      <c r="QYO7" s="2206"/>
      <c r="QYP7" s="2206"/>
      <c r="QYQ7" s="2206"/>
      <c r="QYR7" s="2206"/>
      <c r="QYS7" s="2206"/>
      <c r="QYT7" s="2206"/>
      <c r="QYU7" s="2206"/>
      <c r="QYV7" s="2206"/>
      <c r="QYW7" s="2206"/>
      <c r="QYX7" s="2206"/>
      <c r="QYY7" s="2206"/>
      <c r="QYZ7" s="2206"/>
      <c r="QZA7" s="2206"/>
      <c r="QZB7" s="2206"/>
      <c r="QZC7" s="2206"/>
      <c r="QZD7" s="2206"/>
      <c r="QZE7" s="2206"/>
      <c r="QZF7" s="2206"/>
      <c r="QZG7" s="2206"/>
      <c r="QZH7" s="2206"/>
      <c r="QZI7" s="2206"/>
      <c r="QZJ7" s="2206"/>
      <c r="QZK7" s="2206"/>
      <c r="QZL7" s="2206"/>
      <c r="QZM7" s="2206"/>
      <c r="QZN7" s="2206"/>
      <c r="QZO7" s="2206"/>
      <c r="QZP7" s="2206"/>
      <c r="QZQ7" s="2206"/>
      <c r="QZR7" s="2206"/>
      <c r="QZS7" s="2206"/>
      <c r="QZT7" s="2206"/>
      <c r="QZU7" s="2206"/>
      <c r="QZV7" s="2206"/>
      <c r="QZW7" s="2206"/>
      <c r="QZX7" s="2206"/>
      <c r="QZY7" s="2206"/>
      <c r="QZZ7" s="2206"/>
      <c r="RAA7" s="2206"/>
      <c r="RAB7" s="2206"/>
      <c r="RAC7" s="2206"/>
      <c r="RAD7" s="2206"/>
      <c r="RAE7" s="2206"/>
      <c r="RAF7" s="2206"/>
      <c r="RAG7" s="2206"/>
      <c r="RAH7" s="2206"/>
      <c r="RAI7" s="2206"/>
      <c r="RAJ7" s="2206"/>
      <c r="RAK7" s="2206"/>
      <c r="RAL7" s="2206"/>
      <c r="RAM7" s="2206"/>
      <c r="RAN7" s="2206"/>
      <c r="RAO7" s="2206"/>
      <c r="RAP7" s="2206"/>
      <c r="RAQ7" s="2206"/>
      <c r="RAR7" s="2206"/>
      <c r="RAS7" s="2206"/>
      <c r="RAT7" s="2206"/>
      <c r="RAU7" s="2206"/>
      <c r="RAV7" s="2206"/>
      <c r="RAW7" s="2206"/>
      <c r="RAX7" s="2206"/>
      <c r="RAY7" s="2206"/>
      <c r="RAZ7" s="2206"/>
      <c r="RBA7" s="2206"/>
      <c r="RBB7" s="2206"/>
      <c r="RBC7" s="2206"/>
      <c r="RBD7" s="2206"/>
      <c r="RBE7" s="2206"/>
      <c r="RBF7" s="2206"/>
      <c r="RBG7" s="2206"/>
      <c r="RBH7" s="2206"/>
      <c r="RBI7" s="2206"/>
      <c r="RBJ7" s="2206"/>
      <c r="RBK7" s="2206"/>
      <c r="RBL7" s="2206"/>
      <c r="RBM7" s="2206"/>
      <c r="RBN7" s="2206"/>
      <c r="RBO7" s="2206"/>
      <c r="RBP7" s="2206"/>
      <c r="RBQ7" s="2206"/>
      <c r="RBR7" s="2206"/>
      <c r="RBS7" s="2206"/>
      <c r="RBT7" s="2206"/>
      <c r="RBU7" s="2206"/>
      <c r="RBV7" s="2206"/>
      <c r="RBW7" s="2206"/>
      <c r="RBX7" s="2206"/>
      <c r="RBY7" s="2206"/>
      <c r="RBZ7" s="2206"/>
      <c r="RCA7" s="2206"/>
      <c r="RCB7" s="2206"/>
      <c r="RCC7" s="2206"/>
      <c r="RCD7" s="2206"/>
      <c r="RCE7" s="2206"/>
      <c r="RCF7" s="2206"/>
      <c r="RCG7" s="2206"/>
      <c r="RCH7" s="2206"/>
      <c r="RCI7" s="2206"/>
      <c r="RCJ7" s="2206"/>
      <c r="RCK7" s="2206"/>
      <c r="RCL7" s="2206"/>
      <c r="RCM7" s="2206"/>
      <c r="RCN7" s="2206"/>
      <c r="RCO7" s="2206"/>
      <c r="RCP7" s="2206"/>
      <c r="RCQ7" s="2206"/>
      <c r="RCR7" s="2206"/>
      <c r="RCS7" s="2206"/>
      <c r="RCT7" s="2206"/>
      <c r="RCU7" s="2206"/>
      <c r="RCV7" s="2206"/>
      <c r="RCW7" s="2206"/>
      <c r="RCX7" s="2206"/>
      <c r="RCY7" s="2206"/>
      <c r="RCZ7" s="2206"/>
      <c r="RDA7" s="2206"/>
      <c r="RDB7" s="2206"/>
      <c r="RDC7" s="2206"/>
      <c r="RDD7" s="2206"/>
      <c r="RDE7" s="2206"/>
      <c r="RDF7" s="2206"/>
      <c r="RDG7" s="2206"/>
      <c r="RDH7" s="2206"/>
      <c r="RDI7" s="2206"/>
      <c r="RDJ7" s="2206"/>
      <c r="RDK7" s="2206"/>
      <c r="RDL7" s="2206"/>
      <c r="RDM7" s="2206"/>
      <c r="RDN7" s="2206"/>
      <c r="RDO7" s="2206"/>
      <c r="RDP7" s="2206"/>
      <c r="RDQ7" s="2206"/>
      <c r="RDR7" s="2206"/>
      <c r="RDS7" s="2206"/>
      <c r="RDT7" s="2206"/>
      <c r="RDU7" s="2206"/>
      <c r="RDV7" s="2206"/>
      <c r="RDW7" s="2206"/>
      <c r="RDX7" s="2206"/>
      <c r="RDY7" s="2206"/>
      <c r="RDZ7" s="2206"/>
      <c r="REA7" s="2206"/>
      <c r="REB7" s="2206"/>
      <c r="REC7" s="2206"/>
      <c r="RED7" s="2206"/>
      <c r="REE7" s="2206"/>
      <c r="REF7" s="2206"/>
      <c r="REG7" s="2206"/>
      <c r="REH7" s="2206"/>
      <c r="REI7" s="2206"/>
      <c r="REJ7" s="2206"/>
      <c r="REK7" s="2206"/>
      <c r="REL7" s="2206"/>
      <c r="REM7" s="2206"/>
      <c r="REN7" s="2206"/>
      <c r="REO7" s="2206"/>
      <c r="REP7" s="2206"/>
      <c r="REQ7" s="2206"/>
      <c r="RER7" s="2206"/>
      <c r="RES7" s="2206"/>
      <c r="RET7" s="2206"/>
      <c r="REU7" s="2206"/>
      <c r="REV7" s="2206"/>
      <c r="REW7" s="2206"/>
      <c r="REX7" s="2206"/>
      <c r="REY7" s="2206"/>
      <c r="REZ7" s="2206"/>
      <c r="RFA7" s="2206"/>
      <c r="RFB7" s="2206"/>
      <c r="RFC7" s="2206"/>
      <c r="RFD7" s="2206"/>
      <c r="RFE7" s="2206"/>
      <c r="RFF7" s="2206"/>
      <c r="RFG7" s="2206"/>
      <c r="RFH7" s="2206"/>
      <c r="RFI7" s="2206"/>
      <c r="RFJ7" s="2206"/>
      <c r="RFK7" s="2206"/>
      <c r="RFL7" s="2206"/>
      <c r="RFM7" s="2206"/>
      <c r="RFN7" s="2206"/>
      <c r="RFO7" s="2206"/>
      <c r="RFP7" s="2206"/>
      <c r="RFQ7" s="2206"/>
      <c r="RFR7" s="2206"/>
      <c r="RFS7" s="2206"/>
      <c r="RFT7" s="2206"/>
      <c r="RFU7" s="2206"/>
      <c r="RFV7" s="2206"/>
      <c r="RFW7" s="2206"/>
      <c r="RFX7" s="2206"/>
      <c r="RFY7" s="2206"/>
      <c r="RFZ7" s="2206"/>
      <c r="RGA7" s="2206"/>
      <c r="RGB7" s="2206"/>
      <c r="RGC7" s="2206"/>
      <c r="RGD7" s="2206"/>
      <c r="RGE7" s="2206"/>
      <c r="RGF7" s="2206"/>
      <c r="RGG7" s="2206"/>
      <c r="RGH7" s="2206"/>
      <c r="RGI7" s="2206"/>
      <c r="RGJ7" s="2206"/>
      <c r="RGK7" s="2206"/>
      <c r="RGL7" s="2206"/>
      <c r="RGM7" s="2206"/>
      <c r="RGN7" s="2206"/>
      <c r="RGO7" s="2206"/>
      <c r="RGP7" s="2206"/>
      <c r="RGQ7" s="2206"/>
      <c r="RGR7" s="2206"/>
      <c r="RGS7" s="2206"/>
      <c r="RGT7" s="2206"/>
      <c r="RGU7" s="2206"/>
      <c r="RGV7" s="2206"/>
      <c r="RGW7" s="2206"/>
      <c r="RGX7" s="2206"/>
      <c r="RGY7" s="2206"/>
      <c r="RGZ7" s="2206"/>
      <c r="RHA7" s="2206"/>
      <c r="RHB7" s="2206"/>
      <c r="RHC7" s="2206"/>
      <c r="RHD7" s="2206"/>
      <c r="RHE7" s="2206"/>
      <c r="RHF7" s="2206"/>
      <c r="RHG7" s="2206"/>
      <c r="RHH7" s="2206"/>
      <c r="RHI7" s="2206"/>
      <c r="RHJ7" s="2206"/>
      <c r="RHK7" s="2206"/>
      <c r="RHL7" s="2206"/>
      <c r="RHM7" s="2206"/>
      <c r="RHN7" s="2206"/>
      <c r="RHO7" s="2206"/>
      <c r="RHP7" s="2206"/>
      <c r="RHQ7" s="2206"/>
      <c r="RHR7" s="2206"/>
      <c r="RHS7" s="2206"/>
      <c r="RHT7" s="2206"/>
      <c r="RHU7" s="2206"/>
      <c r="RHV7" s="2206"/>
      <c r="RHW7" s="2206"/>
      <c r="RHX7" s="2206"/>
      <c r="RHY7" s="2206"/>
      <c r="RHZ7" s="2206"/>
      <c r="RIA7" s="2206"/>
      <c r="RIB7" s="2206"/>
      <c r="RIC7" s="2206"/>
      <c r="RID7" s="2206"/>
      <c r="RIE7" s="2206"/>
      <c r="RIF7" s="2206"/>
      <c r="RIG7" s="2206"/>
      <c r="RIH7" s="2206"/>
      <c r="RII7" s="2206"/>
      <c r="RIJ7" s="2206"/>
      <c r="RIK7" s="2206"/>
      <c r="RIL7" s="2206"/>
      <c r="RIM7" s="2206"/>
      <c r="RIN7" s="2206"/>
      <c r="RIO7" s="2206"/>
      <c r="RIP7" s="2206"/>
      <c r="RIQ7" s="2206"/>
      <c r="RIR7" s="2206"/>
      <c r="RIS7" s="2206"/>
      <c r="RIT7" s="2206"/>
      <c r="RIU7" s="2206"/>
      <c r="RIV7" s="2206"/>
      <c r="RIW7" s="2206"/>
      <c r="RIX7" s="2206"/>
      <c r="RIY7" s="2206"/>
      <c r="RIZ7" s="2206"/>
      <c r="RJA7" s="2206"/>
      <c r="RJB7" s="2206"/>
      <c r="RJC7" s="2206"/>
      <c r="RJD7" s="2206"/>
      <c r="RJE7" s="2206"/>
      <c r="RJF7" s="2206"/>
      <c r="RJG7" s="2206"/>
      <c r="RJH7" s="2206"/>
      <c r="RJI7" s="2206"/>
      <c r="RJJ7" s="2206"/>
      <c r="RJK7" s="2206"/>
      <c r="RJL7" s="2206"/>
      <c r="RJM7" s="2206"/>
      <c r="RJN7" s="2206"/>
      <c r="RJO7" s="2206"/>
      <c r="RJP7" s="2206"/>
      <c r="RJQ7" s="2206"/>
      <c r="RJR7" s="2206"/>
      <c r="RJS7" s="2206"/>
      <c r="RJT7" s="2206"/>
      <c r="RJU7" s="2206"/>
      <c r="RJV7" s="2206"/>
      <c r="RJW7" s="2206"/>
      <c r="RJX7" s="2206"/>
      <c r="RJY7" s="2206"/>
      <c r="RJZ7" s="2206"/>
      <c r="RKA7" s="2206"/>
      <c r="RKB7" s="2206"/>
      <c r="RKC7" s="2206"/>
      <c r="RKD7" s="2206"/>
      <c r="RKE7" s="2206"/>
      <c r="RKF7" s="2206"/>
      <c r="RKG7" s="2206"/>
      <c r="RKH7" s="2206"/>
      <c r="RKI7" s="2206"/>
      <c r="RKJ7" s="2206"/>
      <c r="RKK7" s="2206"/>
      <c r="RKL7" s="2206"/>
      <c r="RKM7" s="2206"/>
      <c r="RKN7" s="2206"/>
      <c r="RKO7" s="2206"/>
      <c r="RKP7" s="2206"/>
      <c r="RKQ7" s="2206"/>
      <c r="RKR7" s="2206"/>
      <c r="RKS7" s="2206"/>
      <c r="RKT7" s="2206"/>
      <c r="RKU7" s="2206"/>
      <c r="RKV7" s="2206"/>
      <c r="RKW7" s="2206"/>
      <c r="RKX7" s="2206"/>
      <c r="RKY7" s="2206"/>
      <c r="RKZ7" s="2206"/>
      <c r="RLA7" s="2206"/>
      <c r="RLB7" s="2206"/>
      <c r="RLC7" s="2206"/>
      <c r="RLD7" s="2206"/>
      <c r="RLE7" s="2206"/>
      <c r="RLF7" s="2206"/>
      <c r="RLG7" s="2206"/>
      <c r="RLH7" s="2206"/>
      <c r="RLI7" s="2206"/>
      <c r="RLJ7" s="2206"/>
      <c r="RLK7" s="2206"/>
      <c r="RLL7" s="2206"/>
      <c r="RLM7" s="2206"/>
      <c r="RLN7" s="2206"/>
      <c r="RLO7" s="2206"/>
      <c r="RLP7" s="2206"/>
      <c r="RLQ7" s="2206"/>
      <c r="RLR7" s="2206"/>
      <c r="RLS7" s="2206"/>
      <c r="RLT7" s="2206"/>
      <c r="RLU7" s="2206"/>
      <c r="RLV7" s="2206"/>
      <c r="RLW7" s="2206"/>
      <c r="RLX7" s="2206"/>
      <c r="RLY7" s="2206"/>
      <c r="RLZ7" s="2206"/>
      <c r="RMA7" s="2206"/>
      <c r="RMB7" s="2206"/>
      <c r="RMC7" s="2206"/>
      <c r="RMD7" s="2206"/>
      <c r="RME7" s="2206"/>
      <c r="RMF7" s="2206"/>
      <c r="RMG7" s="2206"/>
      <c r="RMH7" s="2206"/>
      <c r="RMI7" s="2206"/>
      <c r="RMJ7" s="2206"/>
      <c r="RMK7" s="2206"/>
      <c r="RML7" s="2206"/>
      <c r="RMM7" s="2206"/>
      <c r="RMN7" s="2206"/>
      <c r="RMO7" s="2206"/>
      <c r="RMP7" s="2206"/>
      <c r="RMQ7" s="2206"/>
      <c r="RMR7" s="2206"/>
      <c r="RMS7" s="2206"/>
      <c r="RMT7" s="2206"/>
      <c r="RMU7" s="2206"/>
      <c r="RMV7" s="2206"/>
      <c r="RMW7" s="2206"/>
      <c r="RMX7" s="2206"/>
      <c r="RMY7" s="2206"/>
      <c r="RMZ7" s="2206"/>
      <c r="RNA7" s="2206"/>
      <c r="RNB7" s="2206"/>
      <c r="RNC7" s="2206"/>
      <c r="RND7" s="2206"/>
      <c r="RNE7" s="2206"/>
      <c r="RNF7" s="2206"/>
      <c r="RNG7" s="2206"/>
      <c r="RNH7" s="2206"/>
      <c r="RNI7" s="2206"/>
      <c r="RNJ7" s="2206"/>
      <c r="RNK7" s="2206"/>
      <c r="RNL7" s="2206"/>
      <c r="RNM7" s="2206"/>
      <c r="RNN7" s="2206"/>
      <c r="RNO7" s="2206"/>
      <c r="RNP7" s="2206"/>
      <c r="RNQ7" s="2206"/>
      <c r="RNR7" s="2206"/>
      <c r="RNS7" s="2206"/>
      <c r="RNT7" s="2206"/>
      <c r="RNU7" s="2206"/>
      <c r="RNV7" s="2206"/>
      <c r="RNW7" s="2206"/>
      <c r="RNX7" s="2206"/>
      <c r="RNY7" s="2206"/>
      <c r="RNZ7" s="2206"/>
      <c r="ROA7" s="2206"/>
      <c r="ROB7" s="2206"/>
      <c r="ROC7" s="2206"/>
      <c r="ROD7" s="2206"/>
      <c r="ROE7" s="2206"/>
      <c r="ROF7" s="2206"/>
      <c r="ROG7" s="2206"/>
      <c r="ROH7" s="2206"/>
      <c r="ROI7" s="2206"/>
      <c r="ROJ7" s="2206"/>
      <c r="ROK7" s="2206"/>
      <c r="ROL7" s="2206"/>
      <c r="ROM7" s="2206"/>
      <c r="RON7" s="2206"/>
      <c r="ROO7" s="2206"/>
      <c r="ROP7" s="2206"/>
      <c r="ROQ7" s="2206"/>
      <c r="ROR7" s="2206"/>
      <c r="ROS7" s="2206"/>
      <c r="ROT7" s="2206"/>
      <c r="ROU7" s="2206"/>
      <c r="ROV7" s="2206"/>
      <c r="ROW7" s="2206"/>
      <c r="ROX7" s="2206"/>
      <c r="ROY7" s="2206"/>
      <c r="ROZ7" s="2206"/>
      <c r="RPA7" s="2206"/>
      <c r="RPB7" s="2206"/>
      <c r="RPC7" s="2206"/>
      <c r="RPD7" s="2206"/>
      <c r="RPE7" s="2206"/>
      <c r="RPF7" s="2206"/>
      <c r="RPG7" s="2206"/>
      <c r="RPH7" s="2206"/>
      <c r="RPI7" s="2206"/>
      <c r="RPJ7" s="2206"/>
      <c r="RPK7" s="2206"/>
      <c r="RPL7" s="2206"/>
      <c r="RPM7" s="2206"/>
      <c r="RPN7" s="2206"/>
      <c r="RPO7" s="2206"/>
      <c r="RPP7" s="2206"/>
      <c r="RPQ7" s="2206"/>
      <c r="RPR7" s="2206"/>
      <c r="RPS7" s="2206"/>
      <c r="RPT7" s="2206"/>
      <c r="RPU7" s="2206"/>
      <c r="RPV7" s="2206"/>
      <c r="RPW7" s="2206"/>
      <c r="RPX7" s="2206"/>
      <c r="RPY7" s="2206"/>
      <c r="RPZ7" s="2206"/>
      <c r="RQA7" s="2206"/>
      <c r="RQB7" s="2206"/>
      <c r="RQC7" s="2206"/>
      <c r="RQD7" s="2206"/>
      <c r="RQE7" s="2206"/>
      <c r="RQF7" s="2206"/>
      <c r="RQG7" s="2206"/>
      <c r="RQH7" s="2206"/>
      <c r="RQI7" s="2206"/>
      <c r="RQJ7" s="2206"/>
      <c r="RQK7" s="2206"/>
      <c r="RQL7" s="2206"/>
      <c r="RQM7" s="2206"/>
      <c r="RQN7" s="2206"/>
      <c r="RQO7" s="2206"/>
      <c r="RQP7" s="2206"/>
      <c r="RQQ7" s="2206"/>
      <c r="RQR7" s="2206"/>
      <c r="RQS7" s="2206"/>
      <c r="RQT7" s="2206"/>
      <c r="RQU7" s="2206"/>
      <c r="RQV7" s="2206"/>
      <c r="RQW7" s="2206"/>
      <c r="RQX7" s="2206"/>
      <c r="RQY7" s="2206"/>
      <c r="RQZ7" s="2206"/>
      <c r="RRA7" s="2206"/>
      <c r="RRB7" s="2206"/>
      <c r="RRC7" s="2206"/>
      <c r="RRD7" s="2206"/>
      <c r="RRE7" s="2206"/>
      <c r="RRF7" s="2206"/>
      <c r="RRG7" s="2206"/>
      <c r="RRH7" s="2206"/>
      <c r="RRI7" s="2206"/>
      <c r="RRJ7" s="2206"/>
      <c r="RRK7" s="2206"/>
      <c r="RRL7" s="2206"/>
      <c r="RRM7" s="2206"/>
      <c r="RRN7" s="2206"/>
      <c r="RRO7" s="2206"/>
      <c r="RRP7" s="2206"/>
      <c r="RRQ7" s="2206"/>
      <c r="RRR7" s="2206"/>
      <c r="RRS7" s="2206"/>
      <c r="RRT7" s="2206"/>
      <c r="RRU7" s="2206"/>
      <c r="RRV7" s="2206"/>
      <c r="RRW7" s="2206"/>
      <c r="RRX7" s="2206"/>
      <c r="RRY7" s="2206"/>
      <c r="RRZ7" s="2206"/>
      <c r="RSA7" s="2206"/>
      <c r="RSB7" s="2206"/>
      <c r="RSC7" s="2206"/>
      <c r="RSD7" s="2206"/>
      <c r="RSE7" s="2206"/>
      <c r="RSF7" s="2206"/>
      <c r="RSG7" s="2206"/>
      <c r="RSH7" s="2206"/>
      <c r="RSI7" s="2206"/>
      <c r="RSJ7" s="2206"/>
      <c r="RSK7" s="2206"/>
      <c r="RSL7" s="2206"/>
      <c r="RSM7" s="2206"/>
      <c r="RSN7" s="2206"/>
      <c r="RSO7" s="2206"/>
      <c r="RSP7" s="2206"/>
      <c r="RSQ7" s="2206"/>
      <c r="RSR7" s="2206"/>
      <c r="RSS7" s="2206"/>
      <c r="RST7" s="2206"/>
      <c r="RSU7" s="2206"/>
      <c r="RSV7" s="2206"/>
      <c r="RSW7" s="2206"/>
      <c r="RSX7" s="2206"/>
      <c r="RSY7" s="2206"/>
      <c r="RSZ7" s="2206"/>
      <c r="RTA7" s="2206"/>
      <c r="RTB7" s="2206"/>
      <c r="RTC7" s="2206"/>
      <c r="RTD7" s="2206"/>
      <c r="RTE7" s="2206"/>
      <c r="RTF7" s="2206"/>
      <c r="RTG7" s="2206"/>
      <c r="RTH7" s="2206"/>
      <c r="RTI7" s="2206"/>
      <c r="RTJ7" s="2206"/>
      <c r="RTK7" s="2206"/>
      <c r="RTL7" s="2206"/>
      <c r="RTM7" s="2206"/>
      <c r="RTN7" s="2206"/>
      <c r="RTO7" s="2206"/>
      <c r="RTP7" s="2206"/>
      <c r="RTQ7" s="2206"/>
      <c r="RTR7" s="2206"/>
      <c r="RTS7" s="2206"/>
      <c r="RTT7" s="2206"/>
      <c r="RTU7" s="2206"/>
      <c r="RTV7" s="2206"/>
      <c r="RTW7" s="2206"/>
      <c r="RTX7" s="2206"/>
      <c r="RTY7" s="2206"/>
      <c r="RTZ7" s="2206"/>
      <c r="RUA7" s="2206"/>
      <c r="RUB7" s="2206"/>
      <c r="RUC7" s="2206"/>
      <c r="RUD7" s="2206"/>
      <c r="RUE7" s="2206"/>
      <c r="RUF7" s="2206"/>
      <c r="RUG7" s="2206"/>
      <c r="RUH7" s="2206"/>
      <c r="RUI7" s="2206"/>
      <c r="RUJ7" s="2206"/>
      <c r="RUK7" s="2206"/>
      <c r="RUL7" s="2206"/>
      <c r="RUM7" s="2206"/>
      <c r="RUN7" s="2206"/>
      <c r="RUO7" s="2206"/>
      <c r="RUP7" s="2206"/>
      <c r="RUQ7" s="2206"/>
      <c r="RUR7" s="2206"/>
      <c r="RUS7" s="2206"/>
      <c r="RUT7" s="2206"/>
      <c r="RUU7" s="2206"/>
      <c r="RUV7" s="2206"/>
      <c r="RUW7" s="2206"/>
      <c r="RUX7" s="2206"/>
      <c r="RUY7" s="2206"/>
      <c r="RUZ7" s="2206"/>
      <c r="RVA7" s="2206"/>
      <c r="RVB7" s="2206"/>
      <c r="RVC7" s="2206"/>
      <c r="RVD7" s="2206"/>
      <c r="RVE7" s="2206"/>
      <c r="RVF7" s="2206"/>
      <c r="RVG7" s="2206"/>
      <c r="RVH7" s="2206"/>
      <c r="RVI7" s="2206"/>
      <c r="RVJ7" s="2206"/>
      <c r="RVK7" s="2206"/>
      <c r="RVL7" s="2206"/>
      <c r="RVM7" s="2206"/>
      <c r="RVN7" s="2206"/>
      <c r="RVO7" s="2206"/>
      <c r="RVP7" s="2206"/>
      <c r="RVQ7" s="2206"/>
      <c r="RVR7" s="2206"/>
      <c r="RVS7" s="2206"/>
      <c r="RVT7" s="2206"/>
      <c r="RVU7" s="2206"/>
      <c r="RVV7" s="2206"/>
      <c r="RVW7" s="2206"/>
      <c r="RVX7" s="2206"/>
      <c r="RVY7" s="2206"/>
      <c r="RVZ7" s="2206"/>
      <c r="RWA7" s="2206"/>
      <c r="RWB7" s="2206"/>
      <c r="RWC7" s="2206"/>
      <c r="RWD7" s="2206"/>
      <c r="RWE7" s="2206"/>
      <c r="RWF7" s="2206"/>
      <c r="RWG7" s="2206"/>
      <c r="RWH7" s="2206"/>
      <c r="RWI7" s="2206"/>
      <c r="RWJ7" s="2206"/>
      <c r="RWK7" s="2206"/>
      <c r="RWL7" s="2206"/>
      <c r="RWM7" s="2206"/>
      <c r="RWN7" s="2206"/>
      <c r="RWO7" s="2206"/>
      <c r="RWP7" s="2206"/>
      <c r="RWQ7" s="2206"/>
      <c r="RWR7" s="2206"/>
      <c r="RWS7" s="2206"/>
      <c r="RWT7" s="2206"/>
      <c r="RWU7" s="2206"/>
      <c r="RWV7" s="2206"/>
      <c r="RWW7" s="2206"/>
      <c r="RWX7" s="2206"/>
      <c r="RWY7" s="2206"/>
      <c r="RWZ7" s="2206"/>
      <c r="RXA7" s="2206"/>
      <c r="RXB7" s="2206"/>
      <c r="RXC7" s="2206"/>
      <c r="RXD7" s="2206"/>
      <c r="RXE7" s="2206"/>
      <c r="RXF7" s="2206"/>
      <c r="RXG7" s="2206"/>
      <c r="RXH7" s="2206"/>
      <c r="RXI7" s="2206"/>
      <c r="RXJ7" s="2206"/>
      <c r="RXK7" s="2206"/>
      <c r="RXL7" s="2206"/>
      <c r="RXM7" s="2206"/>
      <c r="RXN7" s="2206"/>
      <c r="RXO7" s="2206"/>
      <c r="RXP7" s="2206"/>
      <c r="RXQ7" s="2206"/>
      <c r="RXR7" s="2206"/>
      <c r="RXS7" s="2206"/>
      <c r="RXT7" s="2206"/>
      <c r="RXU7" s="2206"/>
      <c r="RXV7" s="2206"/>
      <c r="RXW7" s="2206"/>
      <c r="RXX7" s="2206"/>
      <c r="RXY7" s="2206"/>
      <c r="RXZ7" s="2206"/>
      <c r="RYA7" s="2206"/>
      <c r="RYB7" s="2206"/>
      <c r="RYC7" s="2206"/>
      <c r="RYD7" s="2206"/>
      <c r="RYE7" s="2206"/>
      <c r="RYF7" s="2206"/>
      <c r="RYG7" s="2206"/>
      <c r="RYH7" s="2206"/>
      <c r="RYI7" s="2206"/>
      <c r="RYJ7" s="2206"/>
      <c r="RYK7" s="2206"/>
      <c r="RYL7" s="2206"/>
      <c r="RYM7" s="2206"/>
      <c r="RYN7" s="2206"/>
      <c r="RYO7" s="2206"/>
      <c r="RYP7" s="2206"/>
      <c r="RYQ7" s="2206"/>
      <c r="RYR7" s="2206"/>
      <c r="RYS7" s="2206"/>
      <c r="RYT7" s="2206"/>
      <c r="RYU7" s="2206"/>
      <c r="RYV7" s="2206"/>
      <c r="RYW7" s="2206"/>
      <c r="RYX7" s="2206"/>
      <c r="RYY7" s="2206"/>
      <c r="RYZ7" s="2206"/>
      <c r="RZA7" s="2206"/>
      <c r="RZB7" s="2206"/>
      <c r="RZC7" s="2206"/>
      <c r="RZD7" s="2206"/>
      <c r="RZE7" s="2206"/>
      <c r="RZF7" s="2206"/>
      <c r="RZG7" s="2206"/>
      <c r="RZH7" s="2206"/>
      <c r="RZI7" s="2206"/>
      <c r="RZJ7" s="2206"/>
      <c r="RZK7" s="2206"/>
      <c r="RZL7" s="2206"/>
      <c r="RZM7" s="2206"/>
      <c r="RZN7" s="2206"/>
      <c r="RZO7" s="2206"/>
      <c r="RZP7" s="2206"/>
      <c r="RZQ7" s="2206"/>
      <c r="RZR7" s="2206"/>
      <c r="RZS7" s="2206"/>
      <c r="RZT7" s="2206"/>
      <c r="RZU7" s="2206"/>
      <c r="RZV7" s="2206"/>
      <c r="RZW7" s="2206"/>
      <c r="RZX7" s="2206"/>
      <c r="RZY7" s="2206"/>
      <c r="RZZ7" s="2206"/>
      <c r="SAA7" s="2206"/>
      <c r="SAB7" s="2206"/>
      <c r="SAC7" s="2206"/>
      <c r="SAD7" s="2206"/>
      <c r="SAE7" s="2206"/>
      <c r="SAF7" s="2206"/>
      <c r="SAG7" s="2206"/>
      <c r="SAH7" s="2206"/>
      <c r="SAI7" s="2206"/>
      <c r="SAJ7" s="2206"/>
      <c r="SAK7" s="2206"/>
      <c r="SAL7" s="2206"/>
      <c r="SAM7" s="2206"/>
      <c r="SAN7" s="2206"/>
      <c r="SAO7" s="2206"/>
      <c r="SAP7" s="2206"/>
      <c r="SAQ7" s="2206"/>
      <c r="SAR7" s="2206"/>
      <c r="SAS7" s="2206"/>
      <c r="SAT7" s="2206"/>
      <c r="SAU7" s="2206"/>
      <c r="SAV7" s="2206"/>
      <c r="SAW7" s="2206"/>
      <c r="SAX7" s="2206"/>
      <c r="SAY7" s="2206"/>
      <c r="SAZ7" s="2206"/>
      <c r="SBA7" s="2206"/>
      <c r="SBB7" s="2206"/>
      <c r="SBC7" s="2206"/>
      <c r="SBD7" s="2206"/>
      <c r="SBE7" s="2206"/>
      <c r="SBF7" s="2206"/>
      <c r="SBG7" s="2206"/>
      <c r="SBH7" s="2206"/>
      <c r="SBI7" s="2206"/>
      <c r="SBJ7" s="2206"/>
      <c r="SBK7" s="2206"/>
      <c r="SBL7" s="2206"/>
      <c r="SBM7" s="2206"/>
      <c r="SBN7" s="2206"/>
      <c r="SBO7" s="2206"/>
      <c r="SBP7" s="2206"/>
      <c r="SBQ7" s="2206"/>
      <c r="SBR7" s="2206"/>
      <c r="SBS7" s="2206"/>
      <c r="SBT7" s="2206"/>
      <c r="SBU7" s="2206"/>
      <c r="SBV7" s="2206"/>
      <c r="SBW7" s="2206"/>
      <c r="SBX7" s="2206"/>
      <c r="SBY7" s="2206"/>
      <c r="SBZ7" s="2206"/>
      <c r="SCA7" s="2206"/>
      <c r="SCB7" s="2206"/>
      <c r="SCC7" s="2206"/>
      <c r="SCD7" s="2206"/>
      <c r="SCE7" s="2206"/>
      <c r="SCF7" s="2206"/>
      <c r="SCG7" s="2206"/>
      <c r="SCH7" s="2206"/>
      <c r="SCI7" s="2206"/>
      <c r="SCJ7" s="2206"/>
      <c r="SCK7" s="2206"/>
      <c r="SCL7" s="2206"/>
      <c r="SCM7" s="2206"/>
      <c r="SCN7" s="2206"/>
      <c r="SCO7" s="2206"/>
      <c r="SCP7" s="2206"/>
      <c r="SCQ7" s="2206"/>
      <c r="SCR7" s="2206"/>
      <c r="SCS7" s="2206"/>
      <c r="SCT7" s="2206"/>
      <c r="SCU7" s="2206"/>
      <c r="SCV7" s="2206"/>
      <c r="SCW7" s="2206"/>
      <c r="SCX7" s="2206"/>
      <c r="SCY7" s="2206"/>
      <c r="SCZ7" s="2206"/>
      <c r="SDA7" s="2206"/>
      <c r="SDB7" s="2206"/>
      <c r="SDC7" s="2206"/>
      <c r="SDD7" s="2206"/>
      <c r="SDE7" s="2206"/>
      <c r="SDF7" s="2206"/>
      <c r="SDG7" s="2206"/>
      <c r="SDH7" s="2206"/>
      <c r="SDI7" s="2206"/>
      <c r="SDJ7" s="2206"/>
      <c r="SDK7" s="2206"/>
      <c r="SDL7" s="2206"/>
      <c r="SDM7" s="2206"/>
      <c r="SDN7" s="2206"/>
      <c r="SDO7" s="2206"/>
      <c r="SDP7" s="2206"/>
      <c r="SDQ7" s="2206"/>
      <c r="SDR7" s="2206"/>
      <c r="SDS7" s="2206"/>
      <c r="SDT7" s="2206"/>
      <c r="SDU7" s="2206"/>
      <c r="SDV7" s="2206"/>
      <c r="SDW7" s="2206"/>
      <c r="SDX7" s="2206"/>
      <c r="SDY7" s="2206"/>
      <c r="SDZ7" s="2206"/>
      <c r="SEA7" s="2206"/>
      <c r="SEB7" s="2206"/>
      <c r="SEC7" s="2206"/>
      <c r="SED7" s="2206"/>
      <c r="SEE7" s="2206"/>
      <c r="SEF7" s="2206"/>
      <c r="SEG7" s="2206"/>
      <c r="SEH7" s="2206"/>
      <c r="SEI7" s="2206"/>
      <c r="SEJ7" s="2206"/>
      <c r="SEK7" s="2206"/>
      <c r="SEL7" s="2206"/>
      <c r="SEM7" s="2206"/>
      <c r="SEN7" s="2206"/>
      <c r="SEO7" s="2206"/>
      <c r="SEP7" s="2206"/>
      <c r="SEQ7" s="2206"/>
      <c r="SER7" s="2206"/>
      <c r="SES7" s="2206"/>
      <c r="SET7" s="2206"/>
      <c r="SEU7" s="2206"/>
      <c r="SEV7" s="2206"/>
      <c r="SEW7" s="2206"/>
      <c r="SEX7" s="2206"/>
      <c r="SEY7" s="2206"/>
      <c r="SEZ7" s="2206"/>
      <c r="SFA7" s="2206"/>
      <c r="SFB7" s="2206"/>
      <c r="SFC7" s="2206"/>
      <c r="SFD7" s="2206"/>
      <c r="SFE7" s="2206"/>
      <c r="SFF7" s="2206"/>
      <c r="SFG7" s="2206"/>
      <c r="SFH7" s="2206"/>
      <c r="SFI7" s="2206"/>
      <c r="SFJ7" s="2206"/>
      <c r="SFK7" s="2206"/>
      <c r="SFL7" s="2206"/>
      <c r="SFM7" s="2206"/>
      <c r="SFN7" s="2206"/>
      <c r="SFO7" s="2206"/>
      <c r="SFP7" s="2206"/>
      <c r="SFQ7" s="2206"/>
      <c r="SFR7" s="2206"/>
      <c r="SFS7" s="2206"/>
      <c r="SFT7" s="2206"/>
      <c r="SFU7" s="2206"/>
      <c r="SFV7" s="2206"/>
      <c r="SFW7" s="2206"/>
      <c r="SFX7" s="2206"/>
      <c r="SFY7" s="2206"/>
      <c r="SFZ7" s="2206"/>
      <c r="SGA7" s="2206"/>
      <c r="SGB7" s="2206"/>
      <c r="SGC7" s="2206"/>
      <c r="SGD7" s="2206"/>
      <c r="SGE7" s="2206"/>
      <c r="SGF7" s="2206"/>
      <c r="SGG7" s="2206"/>
      <c r="SGH7" s="2206"/>
      <c r="SGI7" s="2206"/>
      <c r="SGJ7" s="2206"/>
      <c r="SGK7" s="2206"/>
      <c r="SGL7" s="2206"/>
      <c r="SGM7" s="2206"/>
      <c r="SGN7" s="2206"/>
      <c r="SGO7" s="2206"/>
      <c r="SGP7" s="2206"/>
      <c r="SGQ7" s="2206"/>
      <c r="SGR7" s="2206"/>
      <c r="SGS7" s="2206"/>
      <c r="SGT7" s="2206"/>
      <c r="SGU7" s="2206"/>
      <c r="SGV7" s="2206"/>
      <c r="SGW7" s="2206"/>
      <c r="SGX7" s="2206"/>
      <c r="SGY7" s="2206"/>
      <c r="SGZ7" s="2206"/>
      <c r="SHA7" s="2206"/>
      <c r="SHB7" s="2206"/>
      <c r="SHC7" s="2206"/>
      <c r="SHD7" s="2206"/>
      <c r="SHE7" s="2206"/>
      <c r="SHF7" s="2206"/>
      <c r="SHG7" s="2206"/>
      <c r="SHH7" s="2206"/>
      <c r="SHI7" s="2206"/>
      <c r="SHJ7" s="2206"/>
      <c r="SHK7" s="2206"/>
      <c r="SHL7" s="2206"/>
      <c r="SHM7" s="2206"/>
      <c r="SHN7" s="2206"/>
      <c r="SHO7" s="2206"/>
      <c r="SHP7" s="2206"/>
      <c r="SHQ7" s="2206"/>
      <c r="SHR7" s="2206"/>
      <c r="SHS7" s="2206"/>
      <c r="SHT7" s="2206"/>
      <c r="SHU7" s="2206"/>
      <c r="SHV7" s="2206"/>
      <c r="SHW7" s="2206"/>
      <c r="SHX7" s="2206"/>
      <c r="SHY7" s="2206"/>
      <c r="SHZ7" s="2206"/>
      <c r="SIA7" s="2206"/>
      <c r="SIB7" s="2206"/>
      <c r="SIC7" s="2206"/>
      <c r="SID7" s="2206"/>
      <c r="SIE7" s="2206"/>
      <c r="SIF7" s="2206"/>
      <c r="SIG7" s="2206"/>
      <c r="SIH7" s="2206"/>
      <c r="SII7" s="2206"/>
      <c r="SIJ7" s="2206"/>
      <c r="SIK7" s="2206"/>
      <c r="SIL7" s="2206"/>
      <c r="SIM7" s="2206"/>
      <c r="SIN7" s="2206"/>
      <c r="SIO7" s="2206"/>
      <c r="SIP7" s="2206"/>
      <c r="SIQ7" s="2206"/>
      <c r="SIR7" s="2206"/>
      <c r="SIS7" s="2206"/>
      <c r="SIT7" s="2206"/>
      <c r="SIU7" s="2206"/>
      <c r="SIV7" s="2206"/>
      <c r="SIW7" s="2206"/>
      <c r="SIX7" s="2206"/>
      <c r="SIY7" s="2206"/>
      <c r="SIZ7" s="2206"/>
      <c r="SJA7" s="2206"/>
      <c r="SJB7" s="2206"/>
      <c r="SJC7" s="2206"/>
      <c r="SJD7" s="2206"/>
      <c r="SJE7" s="2206"/>
      <c r="SJF7" s="2206"/>
      <c r="SJG7" s="2206"/>
      <c r="SJH7" s="2206"/>
      <c r="SJI7" s="2206"/>
      <c r="SJJ7" s="2206"/>
      <c r="SJK7" s="2206"/>
      <c r="SJL7" s="2206"/>
      <c r="SJM7" s="2206"/>
      <c r="SJN7" s="2206"/>
      <c r="SJO7" s="2206"/>
      <c r="SJP7" s="2206"/>
      <c r="SJQ7" s="2206"/>
      <c r="SJR7" s="2206"/>
      <c r="SJS7" s="2206"/>
      <c r="SJT7" s="2206"/>
      <c r="SJU7" s="2206"/>
      <c r="SJV7" s="2206"/>
      <c r="SJW7" s="2206"/>
      <c r="SJX7" s="2206"/>
      <c r="SJY7" s="2206"/>
      <c r="SJZ7" s="2206"/>
      <c r="SKA7" s="2206"/>
      <c r="SKB7" s="2206"/>
      <c r="SKC7" s="2206"/>
      <c r="SKD7" s="2206"/>
      <c r="SKE7" s="2206"/>
      <c r="SKF7" s="2206"/>
      <c r="SKG7" s="2206"/>
      <c r="SKH7" s="2206"/>
      <c r="SKI7" s="2206"/>
      <c r="SKJ7" s="2206"/>
      <c r="SKK7" s="2206"/>
      <c r="SKL7" s="2206"/>
      <c r="SKM7" s="2206"/>
      <c r="SKN7" s="2206"/>
      <c r="SKO7" s="2206"/>
      <c r="SKP7" s="2206"/>
      <c r="SKQ7" s="2206"/>
      <c r="SKR7" s="2206"/>
      <c r="SKS7" s="2206"/>
      <c r="SKT7" s="2206"/>
      <c r="SKU7" s="2206"/>
      <c r="SKV7" s="2206"/>
      <c r="SKW7" s="2206"/>
      <c r="SKX7" s="2206"/>
      <c r="SKY7" s="2206"/>
      <c r="SKZ7" s="2206"/>
      <c r="SLA7" s="2206"/>
      <c r="SLB7" s="2206"/>
      <c r="SLC7" s="2206"/>
      <c r="SLD7" s="2206"/>
      <c r="SLE7" s="2206"/>
      <c r="SLF7" s="2206"/>
      <c r="SLG7" s="2206"/>
      <c r="SLH7" s="2206"/>
      <c r="SLI7" s="2206"/>
      <c r="SLJ7" s="2206"/>
      <c r="SLK7" s="2206"/>
      <c r="SLL7" s="2206"/>
      <c r="SLM7" s="2206"/>
      <c r="SLN7" s="2206"/>
      <c r="SLO7" s="2206"/>
      <c r="SLP7" s="2206"/>
      <c r="SLQ7" s="2206"/>
      <c r="SLR7" s="2206"/>
      <c r="SLS7" s="2206"/>
      <c r="SLT7" s="2206"/>
      <c r="SLU7" s="2206"/>
      <c r="SLV7" s="2206"/>
      <c r="SLW7" s="2206"/>
      <c r="SLX7" s="2206"/>
      <c r="SLY7" s="2206"/>
      <c r="SLZ7" s="2206"/>
      <c r="SMA7" s="2206"/>
      <c r="SMB7" s="2206"/>
      <c r="SMC7" s="2206"/>
      <c r="SMD7" s="2206"/>
      <c r="SME7" s="2206"/>
      <c r="SMF7" s="2206"/>
      <c r="SMG7" s="2206"/>
      <c r="SMH7" s="2206"/>
      <c r="SMI7" s="2206"/>
      <c r="SMJ7" s="2206"/>
      <c r="SMK7" s="2206"/>
      <c r="SML7" s="2206"/>
      <c r="SMM7" s="2206"/>
      <c r="SMN7" s="2206"/>
      <c r="SMO7" s="2206"/>
      <c r="SMP7" s="2206"/>
      <c r="SMQ7" s="2206"/>
      <c r="SMR7" s="2206"/>
      <c r="SMS7" s="2206"/>
      <c r="SMT7" s="2206"/>
      <c r="SMU7" s="2206"/>
      <c r="SMV7" s="2206"/>
      <c r="SMW7" s="2206"/>
      <c r="SMX7" s="2206"/>
      <c r="SMY7" s="2206"/>
      <c r="SMZ7" s="2206"/>
      <c r="SNA7" s="2206"/>
      <c r="SNB7" s="2206"/>
      <c r="SNC7" s="2206"/>
      <c r="SND7" s="2206"/>
      <c r="SNE7" s="2206"/>
      <c r="SNF7" s="2206"/>
      <c r="SNG7" s="2206"/>
      <c r="SNH7" s="2206"/>
      <c r="SNI7" s="2206"/>
      <c r="SNJ7" s="2206"/>
      <c r="SNK7" s="2206"/>
      <c r="SNL7" s="2206"/>
      <c r="SNM7" s="2206"/>
      <c r="SNN7" s="2206"/>
      <c r="SNO7" s="2206"/>
      <c r="SNP7" s="2206"/>
      <c r="SNQ7" s="2206"/>
      <c r="SNR7" s="2206"/>
      <c r="SNS7" s="2206"/>
      <c r="SNT7" s="2206"/>
      <c r="SNU7" s="2206"/>
      <c r="SNV7" s="2206"/>
      <c r="SNW7" s="2206"/>
      <c r="SNX7" s="2206"/>
      <c r="SNY7" s="2206"/>
      <c r="SNZ7" s="2206"/>
      <c r="SOA7" s="2206"/>
      <c r="SOB7" s="2206"/>
      <c r="SOC7" s="2206"/>
      <c r="SOD7" s="2206"/>
      <c r="SOE7" s="2206"/>
      <c r="SOF7" s="2206"/>
      <c r="SOG7" s="2206"/>
      <c r="SOH7" s="2206"/>
      <c r="SOI7" s="2206"/>
      <c r="SOJ7" s="2206"/>
      <c r="SOK7" s="2206"/>
      <c r="SOL7" s="2206"/>
      <c r="SOM7" s="2206"/>
      <c r="SON7" s="2206"/>
      <c r="SOO7" s="2206"/>
      <c r="SOP7" s="2206"/>
      <c r="SOQ7" s="2206"/>
      <c r="SOR7" s="2206"/>
      <c r="SOS7" s="2206"/>
      <c r="SOT7" s="2206"/>
      <c r="SOU7" s="2206"/>
      <c r="SOV7" s="2206"/>
      <c r="SOW7" s="2206"/>
      <c r="SOX7" s="2206"/>
      <c r="SOY7" s="2206"/>
      <c r="SOZ7" s="2206"/>
      <c r="SPA7" s="2206"/>
      <c r="SPB7" s="2206"/>
      <c r="SPC7" s="2206"/>
      <c r="SPD7" s="2206"/>
      <c r="SPE7" s="2206"/>
      <c r="SPF7" s="2206"/>
      <c r="SPG7" s="2206"/>
      <c r="SPH7" s="2206"/>
      <c r="SPI7" s="2206"/>
      <c r="SPJ7" s="2206"/>
      <c r="SPK7" s="2206"/>
      <c r="SPL7" s="2206"/>
      <c r="SPM7" s="2206"/>
      <c r="SPN7" s="2206"/>
      <c r="SPO7" s="2206"/>
      <c r="SPP7" s="2206"/>
      <c r="SPQ7" s="2206"/>
      <c r="SPR7" s="2206"/>
      <c r="SPS7" s="2206"/>
      <c r="SPT7" s="2206"/>
      <c r="SPU7" s="2206"/>
      <c r="SPV7" s="2206"/>
      <c r="SPW7" s="2206"/>
      <c r="SPX7" s="2206"/>
      <c r="SPY7" s="2206"/>
      <c r="SPZ7" s="2206"/>
      <c r="SQA7" s="2206"/>
      <c r="SQB7" s="2206"/>
      <c r="SQC7" s="2206"/>
      <c r="SQD7" s="2206"/>
      <c r="SQE7" s="2206"/>
      <c r="SQF7" s="2206"/>
      <c r="SQG7" s="2206"/>
      <c r="SQH7" s="2206"/>
      <c r="SQI7" s="2206"/>
      <c r="SQJ7" s="2206"/>
      <c r="SQK7" s="2206"/>
      <c r="SQL7" s="2206"/>
      <c r="SQM7" s="2206"/>
      <c r="SQN7" s="2206"/>
      <c r="SQO7" s="2206"/>
      <c r="SQP7" s="2206"/>
      <c r="SQQ7" s="2206"/>
      <c r="SQR7" s="2206"/>
      <c r="SQS7" s="2206"/>
      <c r="SQT7" s="2206"/>
      <c r="SQU7" s="2206"/>
      <c r="SQV7" s="2206"/>
      <c r="SQW7" s="2206"/>
      <c r="SQX7" s="2206"/>
      <c r="SQY7" s="2206"/>
      <c r="SQZ7" s="2206"/>
      <c r="SRA7" s="2206"/>
      <c r="SRB7" s="2206"/>
      <c r="SRC7" s="2206"/>
      <c r="SRD7" s="2206"/>
      <c r="SRE7" s="2206"/>
      <c r="SRF7" s="2206"/>
      <c r="SRG7" s="2206"/>
      <c r="SRH7" s="2206"/>
      <c r="SRI7" s="2206"/>
      <c r="SRJ7" s="2206"/>
      <c r="SRK7" s="2206"/>
      <c r="SRL7" s="2206"/>
      <c r="SRM7" s="2206"/>
      <c r="SRN7" s="2206"/>
      <c r="SRO7" s="2206"/>
      <c r="SRP7" s="2206"/>
      <c r="SRQ7" s="2206"/>
      <c r="SRR7" s="2206"/>
      <c r="SRS7" s="2206"/>
      <c r="SRT7" s="2206"/>
      <c r="SRU7" s="2206"/>
      <c r="SRV7" s="2206"/>
      <c r="SRW7" s="2206"/>
      <c r="SRX7" s="2206"/>
      <c r="SRY7" s="2206"/>
      <c r="SRZ7" s="2206"/>
      <c r="SSA7" s="2206"/>
      <c r="SSB7" s="2206"/>
      <c r="SSC7" s="2206"/>
      <c r="SSD7" s="2206"/>
      <c r="SSE7" s="2206"/>
      <c r="SSF7" s="2206"/>
      <c r="SSG7" s="2206"/>
      <c r="SSH7" s="2206"/>
      <c r="SSI7" s="2206"/>
      <c r="SSJ7" s="2206"/>
      <c r="SSK7" s="2206"/>
      <c r="SSL7" s="2206"/>
      <c r="SSM7" s="2206"/>
      <c r="SSN7" s="2206"/>
      <c r="SSO7" s="2206"/>
      <c r="SSP7" s="2206"/>
      <c r="SSQ7" s="2206"/>
      <c r="SSR7" s="2206"/>
      <c r="SSS7" s="2206"/>
      <c r="SST7" s="2206"/>
      <c r="SSU7" s="2206"/>
      <c r="SSV7" s="2206"/>
      <c r="SSW7" s="2206"/>
      <c r="SSX7" s="2206"/>
      <c r="SSY7" s="2206"/>
      <c r="SSZ7" s="2206"/>
      <c r="STA7" s="2206"/>
      <c r="STB7" s="2206"/>
      <c r="STC7" s="2206"/>
      <c r="STD7" s="2206"/>
      <c r="STE7" s="2206"/>
      <c r="STF7" s="2206"/>
      <c r="STG7" s="2206"/>
      <c r="STH7" s="2206"/>
      <c r="STI7" s="2206"/>
      <c r="STJ7" s="2206"/>
      <c r="STK7" s="2206"/>
      <c r="STL7" s="2206"/>
      <c r="STM7" s="2206"/>
      <c r="STN7" s="2206"/>
      <c r="STO7" s="2206"/>
      <c r="STP7" s="2206"/>
      <c r="STQ7" s="2206"/>
      <c r="STR7" s="2206"/>
      <c r="STS7" s="2206"/>
      <c r="STT7" s="2206"/>
      <c r="STU7" s="2206"/>
      <c r="STV7" s="2206"/>
      <c r="STW7" s="2206"/>
      <c r="STX7" s="2206"/>
      <c r="STY7" s="2206"/>
      <c r="STZ7" s="2206"/>
      <c r="SUA7" s="2206"/>
      <c r="SUB7" s="2206"/>
      <c r="SUC7" s="2206"/>
      <c r="SUD7" s="2206"/>
      <c r="SUE7" s="2206"/>
      <c r="SUF7" s="2206"/>
      <c r="SUG7" s="2206"/>
      <c r="SUH7" s="2206"/>
      <c r="SUI7" s="2206"/>
      <c r="SUJ7" s="2206"/>
      <c r="SUK7" s="2206"/>
      <c r="SUL7" s="2206"/>
      <c r="SUM7" s="2206"/>
      <c r="SUN7" s="2206"/>
      <c r="SUO7" s="2206"/>
      <c r="SUP7" s="2206"/>
      <c r="SUQ7" s="2206"/>
      <c r="SUR7" s="2206"/>
      <c r="SUS7" s="2206"/>
      <c r="SUT7" s="2206"/>
      <c r="SUU7" s="2206"/>
      <c r="SUV7" s="2206"/>
      <c r="SUW7" s="2206"/>
      <c r="SUX7" s="2206"/>
      <c r="SUY7" s="2206"/>
      <c r="SUZ7" s="2206"/>
      <c r="SVA7" s="2206"/>
      <c r="SVB7" s="2206"/>
      <c r="SVC7" s="2206"/>
      <c r="SVD7" s="2206"/>
      <c r="SVE7" s="2206"/>
      <c r="SVF7" s="2206"/>
      <c r="SVG7" s="2206"/>
      <c r="SVH7" s="2206"/>
      <c r="SVI7" s="2206"/>
      <c r="SVJ7" s="2206"/>
      <c r="SVK7" s="2206"/>
      <c r="SVL7" s="2206"/>
      <c r="SVM7" s="2206"/>
      <c r="SVN7" s="2206"/>
      <c r="SVO7" s="2206"/>
      <c r="SVP7" s="2206"/>
      <c r="SVQ7" s="2206"/>
      <c r="SVR7" s="2206"/>
      <c r="SVS7" s="2206"/>
      <c r="SVT7" s="2206"/>
      <c r="SVU7" s="2206"/>
      <c r="SVV7" s="2206"/>
      <c r="SVW7" s="2206"/>
      <c r="SVX7" s="2206"/>
      <c r="SVY7" s="2206"/>
      <c r="SVZ7" s="2206"/>
      <c r="SWA7" s="2206"/>
      <c r="SWB7" s="2206"/>
      <c r="SWC7" s="2206"/>
      <c r="SWD7" s="2206"/>
      <c r="SWE7" s="2206"/>
      <c r="SWF7" s="2206"/>
      <c r="SWG7" s="2206"/>
      <c r="SWH7" s="2206"/>
      <c r="SWI7" s="2206"/>
      <c r="SWJ7" s="2206"/>
      <c r="SWK7" s="2206"/>
      <c r="SWL7" s="2206"/>
      <c r="SWM7" s="2206"/>
      <c r="SWN7" s="2206"/>
      <c r="SWO7" s="2206"/>
      <c r="SWP7" s="2206"/>
      <c r="SWQ7" s="2206"/>
      <c r="SWR7" s="2206"/>
      <c r="SWS7" s="2206"/>
      <c r="SWT7" s="2206"/>
      <c r="SWU7" s="2206"/>
      <c r="SWV7" s="2206"/>
      <c r="SWW7" s="2206"/>
      <c r="SWX7" s="2206"/>
      <c r="SWY7" s="2206"/>
      <c r="SWZ7" s="2206"/>
      <c r="SXA7" s="2206"/>
      <c r="SXB7" s="2206"/>
      <c r="SXC7" s="2206"/>
      <c r="SXD7" s="2206"/>
      <c r="SXE7" s="2206"/>
      <c r="SXF7" s="2206"/>
      <c r="SXG7" s="2206"/>
      <c r="SXH7" s="2206"/>
      <c r="SXI7" s="2206"/>
      <c r="SXJ7" s="2206"/>
      <c r="SXK7" s="2206"/>
      <c r="SXL7" s="2206"/>
      <c r="SXM7" s="2206"/>
      <c r="SXN7" s="2206"/>
      <c r="SXO7" s="2206"/>
      <c r="SXP7" s="2206"/>
      <c r="SXQ7" s="2206"/>
      <c r="SXR7" s="2206"/>
      <c r="SXS7" s="2206"/>
      <c r="SXT7" s="2206"/>
      <c r="SXU7" s="2206"/>
      <c r="SXV7" s="2206"/>
      <c r="SXW7" s="2206"/>
      <c r="SXX7" s="2206"/>
      <c r="SXY7" s="2206"/>
      <c r="SXZ7" s="2206"/>
      <c r="SYA7" s="2206"/>
      <c r="SYB7" s="2206"/>
      <c r="SYC7" s="2206"/>
      <c r="SYD7" s="2206"/>
      <c r="SYE7" s="2206"/>
      <c r="SYF7" s="2206"/>
      <c r="SYG7" s="2206"/>
      <c r="SYH7" s="2206"/>
      <c r="SYI7" s="2206"/>
      <c r="SYJ7" s="2206"/>
      <c r="SYK7" s="2206"/>
      <c r="SYL7" s="2206"/>
      <c r="SYM7" s="2206"/>
      <c r="SYN7" s="2206"/>
      <c r="SYO7" s="2206"/>
      <c r="SYP7" s="2206"/>
      <c r="SYQ7" s="2206"/>
      <c r="SYR7" s="2206"/>
      <c r="SYS7" s="2206"/>
      <c r="SYT7" s="2206"/>
      <c r="SYU7" s="2206"/>
      <c r="SYV7" s="2206"/>
      <c r="SYW7" s="2206"/>
      <c r="SYX7" s="2206"/>
      <c r="SYY7" s="2206"/>
      <c r="SYZ7" s="2206"/>
      <c r="SZA7" s="2206"/>
      <c r="SZB7" s="2206"/>
      <c r="SZC7" s="2206"/>
      <c r="SZD7" s="2206"/>
      <c r="SZE7" s="2206"/>
      <c r="SZF7" s="2206"/>
      <c r="SZG7" s="2206"/>
      <c r="SZH7" s="2206"/>
      <c r="SZI7" s="2206"/>
      <c r="SZJ7" s="2206"/>
      <c r="SZK7" s="2206"/>
      <c r="SZL7" s="2206"/>
      <c r="SZM7" s="2206"/>
      <c r="SZN7" s="2206"/>
      <c r="SZO7" s="2206"/>
      <c r="SZP7" s="2206"/>
      <c r="SZQ7" s="2206"/>
      <c r="SZR7" s="2206"/>
      <c r="SZS7" s="2206"/>
      <c r="SZT7" s="2206"/>
      <c r="SZU7" s="2206"/>
      <c r="SZV7" s="2206"/>
      <c r="SZW7" s="2206"/>
      <c r="SZX7" s="2206"/>
      <c r="SZY7" s="2206"/>
      <c r="SZZ7" s="2206"/>
      <c r="TAA7" s="2206"/>
      <c r="TAB7" s="2206"/>
      <c r="TAC7" s="2206"/>
      <c r="TAD7" s="2206"/>
      <c r="TAE7" s="2206"/>
      <c r="TAF7" s="2206"/>
      <c r="TAG7" s="2206"/>
      <c r="TAH7" s="2206"/>
      <c r="TAI7" s="2206"/>
      <c r="TAJ7" s="2206"/>
      <c r="TAK7" s="2206"/>
      <c r="TAL7" s="2206"/>
      <c r="TAM7" s="2206"/>
      <c r="TAN7" s="2206"/>
      <c r="TAO7" s="2206"/>
      <c r="TAP7" s="2206"/>
      <c r="TAQ7" s="2206"/>
      <c r="TAR7" s="2206"/>
      <c r="TAS7" s="2206"/>
      <c r="TAT7" s="2206"/>
      <c r="TAU7" s="2206"/>
      <c r="TAV7" s="2206"/>
      <c r="TAW7" s="2206"/>
      <c r="TAX7" s="2206"/>
      <c r="TAY7" s="2206"/>
      <c r="TAZ7" s="2206"/>
      <c r="TBA7" s="2206"/>
      <c r="TBB7" s="2206"/>
      <c r="TBC7" s="2206"/>
      <c r="TBD7" s="2206"/>
      <c r="TBE7" s="2206"/>
      <c r="TBF7" s="2206"/>
      <c r="TBG7" s="2206"/>
      <c r="TBH7" s="2206"/>
      <c r="TBI7" s="2206"/>
      <c r="TBJ7" s="2206"/>
      <c r="TBK7" s="2206"/>
      <c r="TBL7" s="2206"/>
      <c r="TBM7" s="2206"/>
      <c r="TBN7" s="2206"/>
      <c r="TBO7" s="2206"/>
      <c r="TBP7" s="2206"/>
      <c r="TBQ7" s="2206"/>
      <c r="TBR7" s="2206"/>
      <c r="TBS7" s="2206"/>
      <c r="TBT7" s="2206"/>
      <c r="TBU7" s="2206"/>
      <c r="TBV7" s="2206"/>
      <c r="TBW7" s="2206"/>
      <c r="TBX7" s="2206"/>
      <c r="TBY7" s="2206"/>
      <c r="TBZ7" s="2206"/>
      <c r="TCA7" s="2206"/>
      <c r="TCB7" s="2206"/>
      <c r="TCC7" s="2206"/>
      <c r="TCD7" s="2206"/>
      <c r="TCE7" s="2206"/>
      <c r="TCF7" s="2206"/>
      <c r="TCG7" s="2206"/>
      <c r="TCH7" s="2206"/>
      <c r="TCI7" s="2206"/>
      <c r="TCJ7" s="2206"/>
      <c r="TCK7" s="2206"/>
      <c r="TCL7" s="2206"/>
      <c r="TCM7" s="2206"/>
      <c r="TCN7" s="2206"/>
      <c r="TCO7" s="2206"/>
      <c r="TCP7" s="2206"/>
      <c r="TCQ7" s="2206"/>
      <c r="TCR7" s="2206"/>
      <c r="TCS7" s="2206"/>
      <c r="TCT7" s="2206"/>
      <c r="TCU7" s="2206"/>
      <c r="TCV7" s="2206"/>
      <c r="TCW7" s="2206"/>
      <c r="TCX7" s="2206"/>
      <c r="TCY7" s="2206"/>
      <c r="TCZ7" s="2206"/>
      <c r="TDA7" s="2206"/>
      <c r="TDB7" s="2206"/>
      <c r="TDC7" s="2206"/>
      <c r="TDD7" s="2206"/>
      <c r="TDE7" s="2206"/>
      <c r="TDF7" s="2206"/>
      <c r="TDG7" s="2206"/>
      <c r="TDH7" s="2206"/>
      <c r="TDI7" s="2206"/>
      <c r="TDJ7" s="2206"/>
      <c r="TDK7" s="2206"/>
      <c r="TDL7" s="2206"/>
      <c r="TDM7" s="2206"/>
      <c r="TDN7" s="2206"/>
      <c r="TDO7" s="2206"/>
      <c r="TDP7" s="2206"/>
      <c r="TDQ7" s="2206"/>
      <c r="TDR7" s="2206"/>
      <c r="TDS7" s="2206"/>
      <c r="TDT7" s="2206"/>
      <c r="TDU7" s="2206"/>
      <c r="TDV7" s="2206"/>
      <c r="TDW7" s="2206"/>
      <c r="TDX7" s="2206"/>
      <c r="TDY7" s="2206"/>
      <c r="TDZ7" s="2206"/>
      <c r="TEA7" s="2206"/>
      <c r="TEB7" s="2206"/>
      <c r="TEC7" s="2206"/>
      <c r="TED7" s="2206"/>
      <c r="TEE7" s="2206"/>
      <c r="TEF7" s="2206"/>
      <c r="TEG7" s="2206"/>
      <c r="TEH7" s="2206"/>
      <c r="TEI7" s="2206"/>
      <c r="TEJ7" s="2206"/>
      <c r="TEK7" s="2206"/>
      <c r="TEL7" s="2206"/>
      <c r="TEM7" s="2206"/>
      <c r="TEN7" s="2206"/>
      <c r="TEO7" s="2206"/>
      <c r="TEP7" s="2206"/>
      <c r="TEQ7" s="2206"/>
      <c r="TER7" s="2206"/>
      <c r="TES7" s="2206"/>
      <c r="TET7" s="2206"/>
      <c r="TEU7" s="2206"/>
      <c r="TEV7" s="2206"/>
      <c r="TEW7" s="2206"/>
      <c r="TEX7" s="2206"/>
      <c r="TEY7" s="2206"/>
      <c r="TEZ7" s="2206"/>
      <c r="TFA7" s="2206"/>
      <c r="TFB7" s="2206"/>
      <c r="TFC7" s="2206"/>
      <c r="TFD7" s="2206"/>
      <c r="TFE7" s="2206"/>
      <c r="TFF7" s="2206"/>
      <c r="TFG7" s="2206"/>
      <c r="TFH7" s="2206"/>
      <c r="TFI7" s="2206"/>
      <c r="TFJ7" s="2206"/>
      <c r="TFK7" s="2206"/>
      <c r="TFL7" s="2206"/>
      <c r="TFM7" s="2206"/>
      <c r="TFN7" s="2206"/>
      <c r="TFO7" s="2206"/>
      <c r="TFP7" s="2206"/>
      <c r="TFQ7" s="2206"/>
      <c r="TFR7" s="2206"/>
      <c r="TFS7" s="2206"/>
      <c r="TFT7" s="2206"/>
      <c r="TFU7" s="2206"/>
      <c r="TFV7" s="2206"/>
      <c r="TFW7" s="2206"/>
      <c r="TFX7" s="2206"/>
      <c r="TFY7" s="2206"/>
      <c r="TFZ7" s="2206"/>
      <c r="TGA7" s="2206"/>
      <c r="TGB7" s="2206"/>
      <c r="TGC7" s="2206"/>
      <c r="TGD7" s="2206"/>
      <c r="TGE7" s="2206"/>
      <c r="TGF7" s="2206"/>
      <c r="TGG7" s="2206"/>
      <c r="TGH7" s="2206"/>
      <c r="TGI7" s="2206"/>
      <c r="TGJ7" s="2206"/>
      <c r="TGK7" s="2206"/>
      <c r="TGL7" s="2206"/>
      <c r="TGM7" s="2206"/>
      <c r="TGN7" s="2206"/>
      <c r="TGO7" s="2206"/>
      <c r="TGP7" s="2206"/>
      <c r="TGQ7" s="2206"/>
      <c r="TGR7" s="2206"/>
      <c r="TGS7" s="2206"/>
      <c r="TGT7" s="2206"/>
      <c r="TGU7" s="2206"/>
      <c r="TGV7" s="2206"/>
      <c r="TGW7" s="2206"/>
      <c r="TGX7" s="2206"/>
      <c r="TGY7" s="2206"/>
      <c r="TGZ7" s="2206"/>
      <c r="THA7" s="2206"/>
      <c r="THB7" s="2206"/>
      <c r="THC7" s="2206"/>
      <c r="THD7" s="2206"/>
      <c r="THE7" s="2206"/>
      <c r="THF7" s="2206"/>
      <c r="THG7" s="2206"/>
      <c r="THH7" s="2206"/>
      <c r="THI7" s="2206"/>
      <c r="THJ7" s="2206"/>
      <c r="THK7" s="2206"/>
      <c r="THL7" s="2206"/>
      <c r="THM7" s="2206"/>
      <c r="THN7" s="2206"/>
      <c r="THO7" s="2206"/>
      <c r="THP7" s="2206"/>
      <c r="THQ7" s="2206"/>
      <c r="THR7" s="2206"/>
      <c r="THS7" s="2206"/>
      <c r="THT7" s="2206"/>
      <c r="THU7" s="2206"/>
      <c r="THV7" s="2206"/>
      <c r="THW7" s="2206"/>
      <c r="THX7" s="2206"/>
      <c r="THY7" s="2206"/>
      <c r="THZ7" s="2206"/>
      <c r="TIA7" s="2206"/>
      <c r="TIB7" s="2206"/>
      <c r="TIC7" s="2206"/>
      <c r="TID7" s="2206"/>
      <c r="TIE7" s="2206"/>
      <c r="TIF7" s="2206"/>
      <c r="TIG7" s="2206"/>
      <c r="TIH7" s="2206"/>
      <c r="TII7" s="2206"/>
      <c r="TIJ7" s="2206"/>
      <c r="TIK7" s="2206"/>
      <c r="TIL7" s="2206"/>
      <c r="TIM7" s="2206"/>
      <c r="TIN7" s="2206"/>
      <c r="TIO7" s="2206"/>
      <c r="TIP7" s="2206"/>
      <c r="TIQ7" s="2206"/>
      <c r="TIR7" s="2206"/>
      <c r="TIS7" s="2206"/>
      <c r="TIT7" s="2206"/>
      <c r="TIU7" s="2206"/>
      <c r="TIV7" s="2206"/>
      <c r="TIW7" s="2206"/>
      <c r="TIX7" s="2206"/>
      <c r="TIY7" s="2206"/>
      <c r="TIZ7" s="2206"/>
      <c r="TJA7" s="2206"/>
      <c r="TJB7" s="2206"/>
      <c r="TJC7" s="2206"/>
      <c r="TJD7" s="2206"/>
      <c r="TJE7" s="2206"/>
      <c r="TJF7" s="2206"/>
      <c r="TJG7" s="2206"/>
      <c r="TJH7" s="2206"/>
      <c r="TJI7" s="2206"/>
      <c r="TJJ7" s="2206"/>
      <c r="TJK7" s="2206"/>
      <c r="TJL7" s="2206"/>
      <c r="TJM7" s="2206"/>
      <c r="TJN7" s="2206"/>
      <c r="TJO7" s="2206"/>
      <c r="TJP7" s="2206"/>
      <c r="TJQ7" s="2206"/>
      <c r="TJR7" s="2206"/>
      <c r="TJS7" s="2206"/>
      <c r="TJT7" s="2206"/>
      <c r="TJU7" s="2206"/>
      <c r="TJV7" s="2206"/>
      <c r="TJW7" s="2206"/>
      <c r="TJX7" s="2206"/>
      <c r="TJY7" s="2206"/>
      <c r="TJZ7" s="2206"/>
      <c r="TKA7" s="2206"/>
      <c r="TKB7" s="2206"/>
      <c r="TKC7" s="2206"/>
      <c r="TKD7" s="2206"/>
      <c r="TKE7" s="2206"/>
      <c r="TKF7" s="2206"/>
      <c r="TKG7" s="2206"/>
      <c r="TKH7" s="2206"/>
      <c r="TKI7" s="2206"/>
      <c r="TKJ7" s="2206"/>
      <c r="TKK7" s="2206"/>
      <c r="TKL7" s="2206"/>
      <c r="TKM7" s="2206"/>
      <c r="TKN7" s="2206"/>
      <c r="TKO7" s="2206"/>
      <c r="TKP7" s="2206"/>
      <c r="TKQ7" s="2206"/>
      <c r="TKR7" s="2206"/>
      <c r="TKS7" s="2206"/>
      <c r="TKT7" s="2206"/>
      <c r="TKU7" s="2206"/>
      <c r="TKV7" s="2206"/>
      <c r="TKW7" s="2206"/>
      <c r="TKX7" s="2206"/>
      <c r="TKY7" s="2206"/>
      <c r="TKZ7" s="2206"/>
      <c r="TLA7" s="2206"/>
      <c r="TLB7" s="2206"/>
      <c r="TLC7" s="2206"/>
      <c r="TLD7" s="2206"/>
      <c r="TLE7" s="2206"/>
      <c r="TLF7" s="2206"/>
      <c r="TLG7" s="2206"/>
      <c r="TLH7" s="2206"/>
      <c r="TLI7" s="2206"/>
      <c r="TLJ7" s="2206"/>
      <c r="TLK7" s="2206"/>
      <c r="TLL7" s="2206"/>
      <c r="TLM7" s="2206"/>
      <c r="TLN7" s="2206"/>
      <c r="TLO7" s="2206"/>
      <c r="TLP7" s="2206"/>
      <c r="TLQ7" s="2206"/>
      <c r="TLR7" s="2206"/>
      <c r="TLS7" s="2206"/>
      <c r="TLT7" s="2206"/>
      <c r="TLU7" s="2206"/>
      <c r="TLV7" s="2206"/>
      <c r="TLW7" s="2206"/>
      <c r="TLX7" s="2206"/>
      <c r="TLY7" s="2206"/>
      <c r="TLZ7" s="2206"/>
      <c r="TMA7" s="2206"/>
      <c r="TMB7" s="2206"/>
      <c r="TMC7" s="2206"/>
      <c r="TMD7" s="2206"/>
      <c r="TME7" s="2206"/>
      <c r="TMF7" s="2206"/>
      <c r="TMG7" s="2206"/>
      <c r="TMH7" s="2206"/>
      <c r="TMI7" s="2206"/>
      <c r="TMJ7" s="2206"/>
      <c r="TMK7" s="2206"/>
      <c r="TML7" s="2206"/>
      <c r="TMM7" s="2206"/>
      <c r="TMN7" s="2206"/>
      <c r="TMO7" s="2206"/>
      <c r="TMP7" s="2206"/>
      <c r="TMQ7" s="2206"/>
      <c r="TMR7" s="2206"/>
      <c r="TMS7" s="2206"/>
      <c r="TMT7" s="2206"/>
      <c r="TMU7" s="2206"/>
      <c r="TMV7" s="2206"/>
      <c r="TMW7" s="2206"/>
      <c r="TMX7" s="2206"/>
      <c r="TMY7" s="2206"/>
      <c r="TMZ7" s="2206"/>
      <c r="TNA7" s="2206"/>
      <c r="TNB7" s="2206"/>
      <c r="TNC7" s="2206"/>
      <c r="TND7" s="2206"/>
      <c r="TNE7" s="2206"/>
      <c r="TNF7" s="2206"/>
      <c r="TNG7" s="2206"/>
      <c r="TNH7" s="2206"/>
      <c r="TNI7" s="2206"/>
      <c r="TNJ7" s="2206"/>
      <c r="TNK7" s="2206"/>
      <c r="TNL7" s="2206"/>
      <c r="TNM7" s="2206"/>
      <c r="TNN7" s="2206"/>
      <c r="TNO7" s="2206"/>
      <c r="TNP7" s="2206"/>
      <c r="TNQ7" s="2206"/>
      <c r="TNR7" s="2206"/>
      <c r="TNS7" s="2206"/>
      <c r="TNT7" s="2206"/>
      <c r="TNU7" s="2206"/>
      <c r="TNV7" s="2206"/>
      <c r="TNW7" s="2206"/>
      <c r="TNX7" s="2206"/>
      <c r="TNY7" s="2206"/>
      <c r="TNZ7" s="2206"/>
      <c r="TOA7" s="2206"/>
      <c r="TOB7" s="2206"/>
      <c r="TOC7" s="2206"/>
      <c r="TOD7" s="2206"/>
      <c r="TOE7" s="2206"/>
      <c r="TOF7" s="2206"/>
      <c r="TOG7" s="2206"/>
      <c r="TOH7" s="2206"/>
      <c r="TOI7" s="2206"/>
      <c r="TOJ7" s="2206"/>
      <c r="TOK7" s="2206"/>
      <c r="TOL7" s="2206"/>
      <c r="TOM7" s="2206"/>
      <c r="TON7" s="2206"/>
      <c r="TOO7" s="2206"/>
      <c r="TOP7" s="2206"/>
      <c r="TOQ7" s="2206"/>
      <c r="TOR7" s="2206"/>
      <c r="TOS7" s="2206"/>
      <c r="TOT7" s="2206"/>
      <c r="TOU7" s="2206"/>
      <c r="TOV7" s="2206"/>
      <c r="TOW7" s="2206"/>
      <c r="TOX7" s="2206"/>
      <c r="TOY7" s="2206"/>
      <c r="TOZ7" s="2206"/>
      <c r="TPA7" s="2206"/>
      <c r="TPB7" s="2206"/>
      <c r="TPC7" s="2206"/>
      <c r="TPD7" s="2206"/>
      <c r="TPE7" s="2206"/>
      <c r="TPF7" s="2206"/>
      <c r="TPG7" s="2206"/>
      <c r="TPH7" s="2206"/>
      <c r="TPI7" s="2206"/>
      <c r="TPJ7" s="2206"/>
      <c r="TPK7" s="2206"/>
      <c r="TPL7" s="2206"/>
      <c r="TPM7" s="2206"/>
      <c r="TPN7" s="2206"/>
      <c r="TPO7" s="2206"/>
      <c r="TPP7" s="2206"/>
      <c r="TPQ7" s="2206"/>
      <c r="TPR7" s="2206"/>
      <c r="TPS7" s="2206"/>
      <c r="TPT7" s="2206"/>
      <c r="TPU7" s="2206"/>
      <c r="TPV7" s="2206"/>
      <c r="TPW7" s="2206"/>
      <c r="TPX7" s="2206"/>
      <c r="TPY7" s="2206"/>
      <c r="TPZ7" s="2206"/>
      <c r="TQA7" s="2206"/>
      <c r="TQB7" s="2206"/>
      <c r="TQC7" s="2206"/>
      <c r="TQD7" s="2206"/>
      <c r="TQE7" s="2206"/>
      <c r="TQF7" s="2206"/>
      <c r="TQG7" s="2206"/>
      <c r="TQH7" s="2206"/>
      <c r="TQI7" s="2206"/>
      <c r="TQJ7" s="2206"/>
      <c r="TQK7" s="2206"/>
      <c r="TQL7" s="2206"/>
      <c r="TQM7" s="2206"/>
      <c r="TQN7" s="2206"/>
      <c r="TQO7" s="2206"/>
      <c r="TQP7" s="2206"/>
      <c r="TQQ7" s="2206"/>
      <c r="TQR7" s="2206"/>
      <c r="TQS7" s="2206"/>
      <c r="TQT7" s="2206"/>
      <c r="TQU7" s="2206"/>
      <c r="TQV7" s="2206"/>
      <c r="TQW7" s="2206"/>
      <c r="TQX7" s="2206"/>
      <c r="TQY7" s="2206"/>
      <c r="TQZ7" s="2206"/>
      <c r="TRA7" s="2206"/>
      <c r="TRB7" s="2206"/>
      <c r="TRC7" s="2206"/>
      <c r="TRD7" s="2206"/>
      <c r="TRE7" s="2206"/>
      <c r="TRF7" s="2206"/>
      <c r="TRG7" s="2206"/>
      <c r="TRH7" s="2206"/>
      <c r="TRI7" s="2206"/>
      <c r="TRJ7" s="2206"/>
      <c r="TRK7" s="2206"/>
      <c r="TRL7" s="2206"/>
      <c r="TRM7" s="2206"/>
      <c r="TRN7" s="2206"/>
      <c r="TRO7" s="2206"/>
      <c r="TRP7" s="2206"/>
      <c r="TRQ7" s="2206"/>
      <c r="TRR7" s="2206"/>
      <c r="TRS7" s="2206"/>
      <c r="TRT7" s="2206"/>
      <c r="TRU7" s="2206"/>
      <c r="TRV7" s="2206"/>
      <c r="TRW7" s="2206"/>
      <c r="TRX7" s="2206"/>
      <c r="TRY7" s="2206"/>
      <c r="TRZ7" s="2206"/>
      <c r="TSA7" s="2206"/>
      <c r="TSB7" s="2206"/>
      <c r="TSC7" s="2206"/>
      <c r="TSD7" s="2206"/>
      <c r="TSE7" s="2206"/>
      <c r="TSF7" s="2206"/>
      <c r="TSG7" s="2206"/>
      <c r="TSH7" s="2206"/>
      <c r="TSI7" s="2206"/>
      <c r="TSJ7" s="2206"/>
      <c r="TSK7" s="2206"/>
      <c r="TSL7" s="2206"/>
      <c r="TSM7" s="2206"/>
      <c r="TSN7" s="2206"/>
      <c r="TSO7" s="2206"/>
      <c r="TSP7" s="2206"/>
      <c r="TSQ7" s="2206"/>
      <c r="TSR7" s="2206"/>
      <c r="TSS7" s="2206"/>
      <c r="TST7" s="2206"/>
      <c r="TSU7" s="2206"/>
      <c r="TSV7" s="2206"/>
      <c r="TSW7" s="2206"/>
      <c r="TSX7" s="2206"/>
      <c r="TSY7" s="2206"/>
      <c r="TSZ7" s="2206"/>
      <c r="TTA7" s="2206"/>
      <c r="TTB7" s="2206"/>
      <c r="TTC7" s="2206"/>
      <c r="TTD7" s="2206"/>
      <c r="TTE7" s="2206"/>
      <c r="TTF7" s="2206"/>
      <c r="TTG7" s="2206"/>
      <c r="TTH7" s="2206"/>
      <c r="TTI7" s="2206"/>
      <c r="TTJ7" s="2206"/>
      <c r="TTK7" s="2206"/>
      <c r="TTL7" s="2206"/>
      <c r="TTM7" s="2206"/>
      <c r="TTN7" s="2206"/>
      <c r="TTO7" s="2206"/>
      <c r="TTP7" s="2206"/>
      <c r="TTQ7" s="2206"/>
      <c r="TTR7" s="2206"/>
      <c r="TTS7" s="2206"/>
      <c r="TTT7" s="2206"/>
      <c r="TTU7" s="2206"/>
      <c r="TTV7" s="2206"/>
      <c r="TTW7" s="2206"/>
      <c r="TTX7" s="2206"/>
      <c r="TTY7" s="2206"/>
      <c r="TTZ7" s="2206"/>
      <c r="TUA7" s="2206"/>
      <c r="TUB7" s="2206"/>
      <c r="TUC7" s="2206"/>
      <c r="TUD7" s="2206"/>
      <c r="TUE7" s="2206"/>
      <c r="TUF7" s="2206"/>
      <c r="TUG7" s="2206"/>
      <c r="TUH7" s="2206"/>
      <c r="TUI7" s="2206"/>
      <c r="TUJ7" s="2206"/>
      <c r="TUK7" s="2206"/>
      <c r="TUL7" s="2206"/>
      <c r="TUM7" s="2206"/>
      <c r="TUN7" s="2206"/>
      <c r="TUO7" s="2206"/>
      <c r="TUP7" s="2206"/>
      <c r="TUQ7" s="2206"/>
      <c r="TUR7" s="2206"/>
      <c r="TUS7" s="2206"/>
      <c r="TUT7" s="2206"/>
      <c r="TUU7" s="2206"/>
      <c r="TUV7" s="2206"/>
      <c r="TUW7" s="2206"/>
      <c r="TUX7" s="2206"/>
      <c r="TUY7" s="2206"/>
      <c r="TUZ7" s="2206"/>
      <c r="TVA7" s="2206"/>
      <c r="TVB7" s="2206"/>
      <c r="TVC7" s="2206"/>
      <c r="TVD7" s="2206"/>
      <c r="TVE7" s="2206"/>
      <c r="TVF7" s="2206"/>
      <c r="TVG7" s="2206"/>
      <c r="TVH7" s="2206"/>
      <c r="TVI7" s="2206"/>
      <c r="TVJ7" s="2206"/>
      <c r="TVK7" s="2206"/>
      <c r="TVL7" s="2206"/>
      <c r="TVM7" s="2206"/>
      <c r="TVN7" s="2206"/>
      <c r="TVO7" s="2206"/>
      <c r="TVP7" s="2206"/>
      <c r="TVQ7" s="2206"/>
      <c r="TVR7" s="2206"/>
      <c r="TVS7" s="2206"/>
      <c r="TVT7" s="2206"/>
      <c r="TVU7" s="2206"/>
      <c r="TVV7" s="2206"/>
      <c r="TVW7" s="2206"/>
      <c r="TVX7" s="2206"/>
      <c r="TVY7" s="2206"/>
      <c r="TVZ7" s="2206"/>
      <c r="TWA7" s="2206"/>
      <c r="TWB7" s="2206"/>
      <c r="TWC7" s="2206"/>
      <c r="TWD7" s="2206"/>
      <c r="TWE7" s="2206"/>
      <c r="TWF7" s="2206"/>
      <c r="TWG7" s="2206"/>
      <c r="TWH7" s="2206"/>
      <c r="TWI7" s="2206"/>
      <c r="TWJ7" s="2206"/>
      <c r="TWK7" s="2206"/>
      <c r="TWL7" s="2206"/>
      <c r="TWM7" s="2206"/>
      <c r="TWN7" s="2206"/>
      <c r="TWO7" s="2206"/>
      <c r="TWP7" s="2206"/>
      <c r="TWQ7" s="2206"/>
      <c r="TWR7" s="2206"/>
      <c r="TWS7" s="2206"/>
      <c r="TWT7" s="2206"/>
      <c r="TWU7" s="2206"/>
      <c r="TWV7" s="2206"/>
      <c r="TWW7" s="2206"/>
      <c r="TWX7" s="2206"/>
      <c r="TWY7" s="2206"/>
      <c r="TWZ7" s="2206"/>
      <c r="TXA7" s="2206"/>
      <c r="TXB7" s="2206"/>
      <c r="TXC7" s="2206"/>
      <c r="TXD7" s="2206"/>
      <c r="TXE7" s="2206"/>
      <c r="TXF7" s="2206"/>
      <c r="TXG7" s="2206"/>
      <c r="TXH7" s="2206"/>
      <c r="TXI7" s="2206"/>
      <c r="TXJ7" s="2206"/>
      <c r="TXK7" s="2206"/>
      <c r="TXL7" s="2206"/>
      <c r="TXM7" s="2206"/>
      <c r="TXN7" s="2206"/>
      <c r="TXO7" s="2206"/>
      <c r="TXP7" s="2206"/>
      <c r="TXQ7" s="2206"/>
      <c r="TXR7" s="2206"/>
      <c r="TXS7" s="2206"/>
      <c r="TXT7" s="2206"/>
      <c r="TXU7" s="2206"/>
      <c r="TXV7" s="2206"/>
      <c r="TXW7" s="2206"/>
      <c r="TXX7" s="2206"/>
      <c r="TXY7" s="2206"/>
      <c r="TXZ7" s="2206"/>
      <c r="TYA7" s="2206"/>
      <c r="TYB7" s="2206"/>
      <c r="TYC7" s="2206"/>
      <c r="TYD7" s="2206"/>
      <c r="TYE7" s="2206"/>
      <c r="TYF7" s="2206"/>
      <c r="TYG7" s="2206"/>
      <c r="TYH7" s="2206"/>
      <c r="TYI7" s="2206"/>
      <c r="TYJ7" s="2206"/>
      <c r="TYK7" s="2206"/>
      <c r="TYL7" s="2206"/>
      <c r="TYM7" s="2206"/>
      <c r="TYN7" s="2206"/>
      <c r="TYO7" s="2206"/>
      <c r="TYP7" s="2206"/>
      <c r="TYQ7" s="2206"/>
      <c r="TYR7" s="2206"/>
      <c r="TYS7" s="2206"/>
      <c r="TYT7" s="2206"/>
      <c r="TYU7" s="2206"/>
      <c r="TYV7" s="2206"/>
      <c r="TYW7" s="2206"/>
      <c r="TYX7" s="2206"/>
      <c r="TYY7" s="2206"/>
      <c r="TYZ7" s="2206"/>
      <c r="TZA7" s="2206"/>
      <c r="TZB7" s="2206"/>
      <c r="TZC7" s="2206"/>
      <c r="TZD7" s="2206"/>
      <c r="TZE7" s="2206"/>
      <c r="TZF7" s="2206"/>
      <c r="TZG7" s="2206"/>
      <c r="TZH7" s="2206"/>
      <c r="TZI7" s="2206"/>
      <c r="TZJ7" s="2206"/>
      <c r="TZK7" s="2206"/>
      <c r="TZL7" s="2206"/>
      <c r="TZM7" s="2206"/>
      <c r="TZN7" s="2206"/>
      <c r="TZO7" s="2206"/>
      <c r="TZP7" s="2206"/>
      <c r="TZQ7" s="2206"/>
      <c r="TZR7" s="2206"/>
      <c r="TZS7" s="2206"/>
      <c r="TZT7" s="2206"/>
      <c r="TZU7" s="2206"/>
      <c r="TZV7" s="2206"/>
      <c r="TZW7" s="2206"/>
      <c r="TZX7" s="2206"/>
      <c r="TZY7" s="2206"/>
      <c r="TZZ7" s="2206"/>
      <c r="UAA7" s="2206"/>
      <c r="UAB7" s="2206"/>
      <c r="UAC7" s="2206"/>
      <c r="UAD7" s="2206"/>
      <c r="UAE7" s="2206"/>
      <c r="UAF7" s="2206"/>
      <c r="UAG7" s="2206"/>
      <c r="UAH7" s="2206"/>
      <c r="UAI7" s="2206"/>
      <c r="UAJ7" s="2206"/>
      <c r="UAK7" s="2206"/>
      <c r="UAL7" s="2206"/>
      <c r="UAM7" s="2206"/>
      <c r="UAN7" s="2206"/>
      <c r="UAO7" s="2206"/>
      <c r="UAP7" s="2206"/>
      <c r="UAQ7" s="2206"/>
      <c r="UAR7" s="2206"/>
      <c r="UAS7" s="2206"/>
      <c r="UAT7" s="2206"/>
      <c r="UAU7" s="2206"/>
      <c r="UAV7" s="2206"/>
      <c r="UAW7" s="2206"/>
      <c r="UAX7" s="2206"/>
      <c r="UAY7" s="2206"/>
      <c r="UAZ7" s="2206"/>
      <c r="UBA7" s="2206"/>
      <c r="UBB7" s="2206"/>
      <c r="UBC7" s="2206"/>
      <c r="UBD7" s="2206"/>
      <c r="UBE7" s="2206"/>
      <c r="UBF7" s="2206"/>
      <c r="UBG7" s="2206"/>
      <c r="UBH7" s="2206"/>
      <c r="UBI7" s="2206"/>
      <c r="UBJ7" s="2206"/>
      <c r="UBK7" s="2206"/>
      <c r="UBL7" s="2206"/>
      <c r="UBM7" s="2206"/>
      <c r="UBN7" s="2206"/>
      <c r="UBO7" s="2206"/>
      <c r="UBP7" s="2206"/>
      <c r="UBQ7" s="2206"/>
      <c r="UBR7" s="2206"/>
      <c r="UBS7" s="2206"/>
      <c r="UBT7" s="2206"/>
      <c r="UBU7" s="2206"/>
      <c r="UBV7" s="2206"/>
      <c r="UBW7" s="2206"/>
      <c r="UBX7" s="2206"/>
      <c r="UBY7" s="2206"/>
      <c r="UBZ7" s="2206"/>
      <c r="UCA7" s="2206"/>
      <c r="UCB7" s="2206"/>
      <c r="UCC7" s="2206"/>
      <c r="UCD7" s="2206"/>
      <c r="UCE7" s="2206"/>
      <c r="UCF7" s="2206"/>
      <c r="UCG7" s="2206"/>
      <c r="UCH7" s="2206"/>
      <c r="UCI7" s="2206"/>
      <c r="UCJ7" s="2206"/>
      <c r="UCK7" s="2206"/>
      <c r="UCL7" s="2206"/>
      <c r="UCM7" s="2206"/>
      <c r="UCN7" s="2206"/>
      <c r="UCO7" s="2206"/>
      <c r="UCP7" s="2206"/>
      <c r="UCQ7" s="2206"/>
      <c r="UCR7" s="2206"/>
      <c r="UCS7" s="2206"/>
      <c r="UCT7" s="2206"/>
      <c r="UCU7" s="2206"/>
      <c r="UCV7" s="2206"/>
      <c r="UCW7" s="2206"/>
      <c r="UCX7" s="2206"/>
      <c r="UCY7" s="2206"/>
      <c r="UCZ7" s="2206"/>
      <c r="UDA7" s="2206"/>
      <c r="UDB7" s="2206"/>
      <c r="UDC7" s="2206"/>
      <c r="UDD7" s="2206"/>
      <c r="UDE7" s="2206"/>
      <c r="UDF7" s="2206"/>
      <c r="UDG7" s="2206"/>
      <c r="UDH7" s="2206"/>
      <c r="UDI7" s="2206"/>
      <c r="UDJ7" s="2206"/>
      <c r="UDK7" s="2206"/>
      <c r="UDL7" s="2206"/>
      <c r="UDM7" s="2206"/>
      <c r="UDN7" s="2206"/>
      <c r="UDO7" s="2206"/>
      <c r="UDP7" s="2206"/>
      <c r="UDQ7" s="2206"/>
      <c r="UDR7" s="2206"/>
      <c r="UDS7" s="2206"/>
      <c r="UDT7" s="2206"/>
      <c r="UDU7" s="2206"/>
      <c r="UDV7" s="2206"/>
      <c r="UDW7" s="2206"/>
      <c r="UDX7" s="2206"/>
      <c r="UDY7" s="2206"/>
      <c r="UDZ7" s="2206"/>
      <c r="UEA7" s="2206"/>
      <c r="UEB7" s="2206"/>
      <c r="UEC7" s="2206"/>
      <c r="UED7" s="2206"/>
      <c r="UEE7" s="2206"/>
      <c r="UEF7" s="2206"/>
      <c r="UEG7" s="2206"/>
      <c r="UEH7" s="2206"/>
      <c r="UEI7" s="2206"/>
      <c r="UEJ7" s="2206"/>
      <c r="UEK7" s="2206"/>
      <c r="UEL7" s="2206"/>
      <c r="UEM7" s="2206"/>
      <c r="UEN7" s="2206"/>
      <c r="UEO7" s="2206"/>
      <c r="UEP7" s="2206"/>
      <c r="UEQ7" s="2206"/>
      <c r="UER7" s="2206"/>
      <c r="UES7" s="2206"/>
      <c r="UET7" s="2206"/>
      <c r="UEU7" s="2206"/>
      <c r="UEV7" s="2206"/>
      <c r="UEW7" s="2206"/>
      <c r="UEX7" s="2206"/>
      <c r="UEY7" s="2206"/>
      <c r="UEZ7" s="2206"/>
      <c r="UFA7" s="2206"/>
      <c r="UFB7" s="2206"/>
      <c r="UFC7" s="2206"/>
      <c r="UFD7" s="2206"/>
      <c r="UFE7" s="2206"/>
      <c r="UFF7" s="2206"/>
      <c r="UFG7" s="2206"/>
      <c r="UFH7" s="2206"/>
      <c r="UFI7" s="2206"/>
      <c r="UFJ7" s="2206"/>
      <c r="UFK7" s="2206"/>
      <c r="UFL7" s="2206"/>
      <c r="UFM7" s="2206"/>
      <c r="UFN7" s="2206"/>
      <c r="UFO7" s="2206"/>
      <c r="UFP7" s="2206"/>
      <c r="UFQ7" s="2206"/>
      <c r="UFR7" s="2206"/>
      <c r="UFS7" s="2206"/>
      <c r="UFT7" s="2206"/>
      <c r="UFU7" s="2206"/>
      <c r="UFV7" s="2206"/>
      <c r="UFW7" s="2206"/>
      <c r="UFX7" s="2206"/>
      <c r="UFY7" s="2206"/>
      <c r="UFZ7" s="2206"/>
      <c r="UGA7" s="2206"/>
      <c r="UGB7" s="2206"/>
      <c r="UGC7" s="2206"/>
      <c r="UGD7" s="2206"/>
      <c r="UGE7" s="2206"/>
      <c r="UGF7" s="2206"/>
      <c r="UGG7" s="2206"/>
      <c r="UGH7" s="2206"/>
      <c r="UGI7" s="2206"/>
      <c r="UGJ7" s="2206"/>
      <c r="UGK7" s="2206"/>
      <c r="UGL7" s="2206"/>
      <c r="UGM7" s="2206"/>
      <c r="UGN7" s="2206"/>
      <c r="UGO7" s="2206"/>
      <c r="UGP7" s="2206"/>
      <c r="UGQ7" s="2206"/>
      <c r="UGR7" s="2206"/>
      <c r="UGS7" s="2206"/>
      <c r="UGT7" s="2206"/>
      <c r="UGU7" s="2206"/>
      <c r="UGV7" s="2206"/>
      <c r="UGW7" s="2206"/>
      <c r="UGX7" s="2206"/>
      <c r="UGY7" s="2206"/>
      <c r="UGZ7" s="2206"/>
      <c r="UHA7" s="2206"/>
      <c r="UHB7" s="2206"/>
      <c r="UHC7" s="2206"/>
      <c r="UHD7" s="2206"/>
      <c r="UHE7" s="2206"/>
      <c r="UHF7" s="2206"/>
      <c r="UHG7" s="2206"/>
      <c r="UHH7" s="2206"/>
      <c r="UHI7" s="2206"/>
      <c r="UHJ7" s="2206"/>
      <c r="UHK7" s="2206"/>
      <c r="UHL7" s="2206"/>
      <c r="UHM7" s="2206"/>
      <c r="UHN7" s="2206"/>
      <c r="UHO7" s="2206"/>
      <c r="UHP7" s="2206"/>
      <c r="UHQ7" s="2206"/>
      <c r="UHR7" s="2206"/>
      <c r="UHS7" s="2206"/>
      <c r="UHT7" s="2206"/>
      <c r="UHU7" s="2206"/>
      <c r="UHV7" s="2206"/>
      <c r="UHW7" s="2206"/>
      <c r="UHX7" s="2206"/>
      <c r="UHY7" s="2206"/>
      <c r="UHZ7" s="2206"/>
      <c r="UIA7" s="2206"/>
      <c r="UIB7" s="2206"/>
      <c r="UIC7" s="2206"/>
      <c r="UID7" s="2206"/>
      <c r="UIE7" s="2206"/>
      <c r="UIF7" s="2206"/>
      <c r="UIG7" s="2206"/>
      <c r="UIH7" s="2206"/>
      <c r="UII7" s="2206"/>
      <c r="UIJ7" s="2206"/>
      <c r="UIK7" s="2206"/>
      <c r="UIL7" s="2206"/>
      <c r="UIM7" s="2206"/>
      <c r="UIN7" s="2206"/>
      <c r="UIO7" s="2206"/>
      <c r="UIP7" s="2206"/>
      <c r="UIQ7" s="2206"/>
      <c r="UIR7" s="2206"/>
      <c r="UIS7" s="2206"/>
      <c r="UIT7" s="2206"/>
      <c r="UIU7" s="2206"/>
      <c r="UIV7" s="2206"/>
      <c r="UIW7" s="2206"/>
      <c r="UIX7" s="2206"/>
      <c r="UIY7" s="2206"/>
      <c r="UIZ7" s="2206"/>
      <c r="UJA7" s="2206"/>
      <c r="UJB7" s="2206"/>
      <c r="UJC7" s="2206"/>
      <c r="UJD7" s="2206"/>
      <c r="UJE7" s="2206"/>
      <c r="UJF7" s="2206"/>
      <c r="UJG7" s="2206"/>
      <c r="UJH7" s="2206"/>
      <c r="UJI7" s="2206"/>
      <c r="UJJ7" s="2206"/>
      <c r="UJK7" s="2206"/>
      <c r="UJL7" s="2206"/>
      <c r="UJM7" s="2206"/>
      <c r="UJN7" s="2206"/>
      <c r="UJO7" s="2206"/>
      <c r="UJP7" s="2206"/>
      <c r="UJQ7" s="2206"/>
      <c r="UJR7" s="2206"/>
      <c r="UJS7" s="2206"/>
      <c r="UJT7" s="2206"/>
      <c r="UJU7" s="2206"/>
      <c r="UJV7" s="2206"/>
      <c r="UJW7" s="2206"/>
      <c r="UJX7" s="2206"/>
      <c r="UJY7" s="2206"/>
      <c r="UJZ7" s="2206"/>
      <c r="UKA7" s="2206"/>
      <c r="UKB7" s="2206"/>
      <c r="UKC7" s="2206"/>
      <c r="UKD7" s="2206"/>
      <c r="UKE7" s="2206"/>
      <c r="UKF7" s="2206"/>
      <c r="UKG7" s="2206"/>
      <c r="UKH7" s="2206"/>
      <c r="UKI7" s="2206"/>
      <c r="UKJ7" s="2206"/>
      <c r="UKK7" s="2206"/>
      <c r="UKL7" s="2206"/>
      <c r="UKM7" s="2206"/>
      <c r="UKN7" s="2206"/>
      <c r="UKO7" s="2206"/>
      <c r="UKP7" s="2206"/>
      <c r="UKQ7" s="2206"/>
      <c r="UKR7" s="2206"/>
      <c r="UKS7" s="2206"/>
      <c r="UKT7" s="2206"/>
      <c r="UKU7" s="2206"/>
      <c r="UKV7" s="2206"/>
      <c r="UKW7" s="2206"/>
      <c r="UKX7" s="2206"/>
      <c r="UKY7" s="2206"/>
      <c r="UKZ7" s="2206"/>
      <c r="ULA7" s="2206"/>
      <c r="ULB7" s="2206"/>
      <c r="ULC7" s="2206"/>
      <c r="ULD7" s="2206"/>
      <c r="ULE7" s="2206"/>
      <c r="ULF7" s="2206"/>
      <c r="ULG7" s="2206"/>
      <c r="ULH7" s="2206"/>
      <c r="ULI7" s="2206"/>
      <c r="ULJ7" s="2206"/>
      <c r="ULK7" s="2206"/>
      <c r="ULL7" s="2206"/>
      <c r="ULM7" s="2206"/>
      <c r="ULN7" s="2206"/>
      <c r="ULO7" s="2206"/>
      <c r="ULP7" s="2206"/>
      <c r="ULQ7" s="2206"/>
      <c r="ULR7" s="2206"/>
      <c r="ULS7" s="2206"/>
      <c r="ULT7" s="2206"/>
      <c r="ULU7" s="2206"/>
      <c r="ULV7" s="2206"/>
      <c r="ULW7" s="2206"/>
      <c r="ULX7" s="2206"/>
      <c r="ULY7" s="2206"/>
      <c r="ULZ7" s="2206"/>
      <c r="UMA7" s="2206"/>
      <c r="UMB7" s="2206"/>
      <c r="UMC7" s="2206"/>
      <c r="UMD7" s="2206"/>
      <c r="UME7" s="2206"/>
      <c r="UMF7" s="2206"/>
      <c r="UMG7" s="2206"/>
      <c r="UMH7" s="2206"/>
      <c r="UMI7" s="2206"/>
      <c r="UMJ7" s="2206"/>
      <c r="UMK7" s="2206"/>
      <c r="UML7" s="2206"/>
      <c r="UMM7" s="2206"/>
      <c r="UMN7" s="2206"/>
      <c r="UMO7" s="2206"/>
      <c r="UMP7" s="2206"/>
      <c r="UMQ7" s="2206"/>
      <c r="UMR7" s="2206"/>
      <c r="UMS7" s="2206"/>
      <c r="UMT7" s="2206"/>
      <c r="UMU7" s="2206"/>
      <c r="UMV7" s="2206"/>
      <c r="UMW7" s="2206"/>
      <c r="UMX7" s="2206"/>
      <c r="UMY7" s="2206"/>
      <c r="UMZ7" s="2206"/>
      <c r="UNA7" s="2206"/>
      <c r="UNB7" s="2206"/>
      <c r="UNC7" s="2206"/>
      <c r="UND7" s="2206"/>
      <c r="UNE7" s="2206"/>
      <c r="UNF7" s="2206"/>
      <c r="UNG7" s="2206"/>
      <c r="UNH7" s="2206"/>
      <c r="UNI7" s="2206"/>
      <c r="UNJ7" s="2206"/>
      <c r="UNK7" s="2206"/>
      <c r="UNL7" s="2206"/>
      <c r="UNM7" s="2206"/>
      <c r="UNN7" s="2206"/>
      <c r="UNO7" s="2206"/>
      <c r="UNP7" s="2206"/>
      <c r="UNQ7" s="2206"/>
      <c r="UNR7" s="2206"/>
      <c r="UNS7" s="2206"/>
      <c r="UNT7" s="2206"/>
      <c r="UNU7" s="2206"/>
      <c r="UNV7" s="2206"/>
      <c r="UNW7" s="2206"/>
      <c r="UNX7" s="2206"/>
      <c r="UNY7" s="2206"/>
      <c r="UNZ7" s="2206"/>
      <c r="UOA7" s="2206"/>
      <c r="UOB7" s="2206"/>
      <c r="UOC7" s="2206"/>
      <c r="UOD7" s="2206"/>
      <c r="UOE7" s="2206"/>
      <c r="UOF7" s="2206"/>
      <c r="UOG7" s="2206"/>
      <c r="UOH7" s="2206"/>
      <c r="UOI7" s="2206"/>
      <c r="UOJ7" s="2206"/>
      <c r="UOK7" s="2206"/>
      <c r="UOL7" s="2206"/>
      <c r="UOM7" s="2206"/>
      <c r="UON7" s="2206"/>
      <c r="UOO7" s="2206"/>
      <c r="UOP7" s="2206"/>
      <c r="UOQ7" s="2206"/>
      <c r="UOR7" s="2206"/>
      <c r="UOS7" s="2206"/>
      <c r="UOT7" s="2206"/>
      <c r="UOU7" s="2206"/>
      <c r="UOV7" s="2206"/>
      <c r="UOW7" s="2206"/>
      <c r="UOX7" s="2206"/>
      <c r="UOY7" s="2206"/>
      <c r="UOZ7" s="2206"/>
      <c r="UPA7" s="2206"/>
      <c r="UPB7" s="2206"/>
      <c r="UPC7" s="2206"/>
      <c r="UPD7" s="2206"/>
      <c r="UPE7" s="2206"/>
      <c r="UPF7" s="2206"/>
      <c r="UPG7" s="2206"/>
      <c r="UPH7" s="2206"/>
      <c r="UPI7" s="2206"/>
      <c r="UPJ7" s="2206"/>
      <c r="UPK7" s="2206"/>
      <c r="UPL7" s="2206"/>
      <c r="UPM7" s="2206"/>
      <c r="UPN7" s="2206"/>
      <c r="UPO7" s="2206"/>
      <c r="UPP7" s="2206"/>
      <c r="UPQ7" s="2206"/>
      <c r="UPR7" s="2206"/>
      <c r="UPS7" s="2206"/>
      <c r="UPT7" s="2206"/>
      <c r="UPU7" s="2206"/>
      <c r="UPV7" s="2206"/>
      <c r="UPW7" s="2206"/>
      <c r="UPX7" s="2206"/>
      <c r="UPY7" s="2206"/>
      <c r="UPZ7" s="2206"/>
      <c r="UQA7" s="2206"/>
      <c r="UQB7" s="2206"/>
      <c r="UQC7" s="2206"/>
      <c r="UQD7" s="2206"/>
      <c r="UQE7" s="2206"/>
      <c r="UQF7" s="2206"/>
      <c r="UQG7" s="2206"/>
      <c r="UQH7" s="2206"/>
      <c r="UQI7" s="2206"/>
      <c r="UQJ7" s="2206"/>
      <c r="UQK7" s="2206"/>
      <c r="UQL7" s="2206"/>
      <c r="UQM7" s="2206"/>
      <c r="UQN7" s="2206"/>
      <c r="UQO7" s="2206"/>
      <c r="UQP7" s="2206"/>
      <c r="UQQ7" s="2206"/>
      <c r="UQR7" s="2206"/>
      <c r="UQS7" s="2206"/>
      <c r="UQT7" s="2206"/>
      <c r="UQU7" s="2206"/>
      <c r="UQV7" s="2206"/>
      <c r="UQW7" s="2206"/>
      <c r="UQX7" s="2206"/>
      <c r="UQY7" s="2206"/>
      <c r="UQZ7" s="2206"/>
      <c r="URA7" s="2206"/>
      <c r="URB7" s="2206"/>
      <c r="URC7" s="2206"/>
      <c r="URD7" s="2206"/>
      <c r="URE7" s="2206"/>
      <c r="URF7" s="2206"/>
      <c r="URG7" s="2206"/>
      <c r="URH7" s="2206"/>
      <c r="URI7" s="2206"/>
      <c r="URJ7" s="2206"/>
      <c r="URK7" s="2206"/>
      <c r="URL7" s="2206"/>
      <c r="URM7" s="2206"/>
      <c r="URN7" s="2206"/>
      <c r="URO7" s="2206"/>
      <c r="URP7" s="2206"/>
      <c r="URQ7" s="2206"/>
      <c r="URR7" s="2206"/>
      <c r="URS7" s="2206"/>
      <c r="URT7" s="2206"/>
      <c r="URU7" s="2206"/>
      <c r="URV7" s="2206"/>
      <c r="URW7" s="2206"/>
      <c r="URX7" s="2206"/>
      <c r="URY7" s="2206"/>
      <c r="URZ7" s="2206"/>
      <c r="USA7" s="2206"/>
      <c r="USB7" s="2206"/>
      <c r="USC7" s="2206"/>
      <c r="USD7" s="2206"/>
      <c r="USE7" s="2206"/>
      <c r="USF7" s="2206"/>
      <c r="USG7" s="2206"/>
      <c r="USH7" s="2206"/>
      <c r="USI7" s="2206"/>
      <c r="USJ7" s="2206"/>
      <c r="USK7" s="2206"/>
      <c r="USL7" s="2206"/>
      <c r="USM7" s="2206"/>
      <c r="USN7" s="2206"/>
      <c r="USO7" s="2206"/>
      <c r="USP7" s="2206"/>
      <c r="USQ7" s="2206"/>
      <c r="USR7" s="2206"/>
      <c r="USS7" s="2206"/>
      <c r="UST7" s="2206"/>
      <c r="USU7" s="2206"/>
      <c r="USV7" s="2206"/>
      <c r="USW7" s="2206"/>
      <c r="USX7" s="2206"/>
      <c r="USY7" s="2206"/>
      <c r="USZ7" s="2206"/>
      <c r="UTA7" s="2206"/>
      <c r="UTB7" s="2206"/>
      <c r="UTC7" s="2206"/>
      <c r="UTD7" s="2206"/>
      <c r="UTE7" s="2206"/>
      <c r="UTF7" s="2206"/>
      <c r="UTG7" s="2206"/>
      <c r="UTH7" s="2206"/>
      <c r="UTI7" s="2206"/>
      <c r="UTJ7" s="2206"/>
      <c r="UTK7" s="2206"/>
      <c r="UTL7" s="2206"/>
      <c r="UTM7" s="2206"/>
      <c r="UTN7" s="2206"/>
      <c r="UTO7" s="2206"/>
      <c r="UTP7" s="2206"/>
      <c r="UTQ7" s="2206"/>
      <c r="UTR7" s="2206"/>
      <c r="UTS7" s="2206"/>
      <c r="UTT7" s="2206"/>
      <c r="UTU7" s="2206"/>
      <c r="UTV7" s="2206"/>
      <c r="UTW7" s="2206"/>
      <c r="UTX7" s="2206"/>
      <c r="UTY7" s="2206"/>
      <c r="UTZ7" s="2206"/>
      <c r="UUA7" s="2206"/>
      <c r="UUB7" s="2206"/>
      <c r="UUC7" s="2206"/>
      <c r="UUD7" s="2206"/>
      <c r="UUE7" s="2206"/>
      <c r="UUF7" s="2206"/>
      <c r="UUG7" s="2206"/>
      <c r="UUH7" s="2206"/>
      <c r="UUI7" s="2206"/>
      <c r="UUJ7" s="2206"/>
      <c r="UUK7" s="2206"/>
      <c r="UUL7" s="2206"/>
      <c r="UUM7" s="2206"/>
      <c r="UUN7" s="2206"/>
      <c r="UUO7" s="2206"/>
      <c r="UUP7" s="2206"/>
      <c r="UUQ7" s="2206"/>
      <c r="UUR7" s="2206"/>
      <c r="UUS7" s="2206"/>
      <c r="UUT7" s="2206"/>
      <c r="UUU7" s="2206"/>
      <c r="UUV7" s="2206"/>
      <c r="UUW7" s="2206"/>
      <c r="UUX7" s="2206"/>
      <c r="UUY7" s="2206"/>
      <c r="UUZ7" s="2206"/>
      <c r="UVA7" s="2206"/>
      <c r="UVB7" s="2206"/>
      <c r="UVC7" s="2206"/>
      <c r="UVD7" s="2206"/>
      <c r="UVE7" s="2206"/>
      <c r="UVF7" s="2206"/>
      <c r="UVG7" s="2206"/>
      <c r="UVH7" s="2206"/>
      <c r="UVI7" s="2206"/>
      <c r="UVJ7" s="2206"/>
      <c r="UVK7" s="2206"/>
      <c r="UVL7" s="2206"/>
      <c r="UVM7" s="2206"/>
      <c r="UVN7" s="2206"/>
      <c r="UVO7" s="2206"/>
      <c r="UVP7" s="2206"/>
      <c r="UVQ7" s="2206"/>
      <c r="UVR7" s="2206"/>
      <c r="UVS7" s="2206"/>
      <c r="UVT7" s="2206"/>
      <c r="UVU7" s="2206"/>
      <c r="UVV7" s="2206"/>
      <c r="UVW7" s="2206"/>
      <c r="UVX7" s="2206"/>
      <c r="UVY7" s="2206"/>
      <c r="UVZ7" s="2206"/>
      <c r="UWA7" s="2206"/>
      <c r="UWB7" s="2206"/>
      <c r="UWC7" s="2206"/>
      <c r="UWD7" s="2206"/>
      <c r="UWE7" s="2206"/>
      <c r="UWF7" s="2206"/>
      <c r="UWG7" s="2206"/>
      <c r="UWH7" s="2206"/>
      <c r="UWI7" s="2206"/>
      <c r="UWJ7" s="2206"/>
      <c r="UWK7" s="2206"/>
      <c r="UWL7" s="2206"/>
      <c r="UWM7" s="2206"/>
      <c r="UWN7" s="2206"/>
      <c r="UWO7" s="2206"/>
      <c r="UWP7" s="2206"/>
      <c r="UWQ7" s="2206"/>
      <c r="UWR7" s="2206"/>
      <c r="UWS7" s="2206"/>
      <c r="UWT7" s="2206"/>
      <c r="UWU7" s="2206"/>
      <c r="UWV7" s="2206"/>
      <c r="UWW7" s="2206"/>
      <c r="UWX7" s="2206"/>
      <c r="UWY7" s="2206"/>
      <c r="UWZ7" s="2206"/>
      <c r="UXA7" s="2206"/>
      <c r="UXB7" s="2206"/>
      <c r="UXC7" s="2206"/>
      <c r="UXD7" s="2206"/>
      <c r="UXE7" s="2206"/>
      <c r="UXF7" s="2206"/>
      <c r="UXG7" s="2206"/>
      <c r="UXH7" s="2206"/>
      <c r="UXI7" s="2206"/>
      <c r="UXJ7" s="2206"/>
      <c r="UXK7" s="2206"/>
      <c r="UXL7" s="2206"/>
      <c r="UXM7" s="2206"/>
      <c r="UXN7" s="2206"/>
      <c r="UXO7" s="2206"/>
      <c r="UXP7" s="2206"/>
      <c r="UXQ7" s="2206"/>
      <c r="UXR7" s="2206"/>
      <c r="UXS7" s="2206"/>
      <c r="UXT7" s="2206"/>
      <c r="UXU7" s="2206"/>
      <c r="UXV7" s="2206"/>
      <c r="UXW7" s="2206"/>
      <c r="UXX7" s="2206"/>
      <c r="UXY7" s="2206"/>
      <c r="UXZ7" s="2206"/>
      <c r="UYA7" s="2206"/>
      <c r="UYB7" s="2206"/>
      <c r="UYC7" s="2206"/>
      <c r="UYD7" s="2206"/>
      <c r="UYE7" s="2206"/>
      <c r="UYF7" s="2206"/>
      <c r="UYG7" s="2206"/>
      <c r="UYH7" s="2206"/>
      <c r="UYI7" s="2206"/>
      <c r="UYJ7" s="2206"/>
      <c r="UYK7" s="2206"/>
      <c r="UYL7" s="2206"/>
      <c r="UYM7" s="2206"/>
      <c r="UYN7" s="2206"/>
      <c r="UYO7" s="2206"/>
      <c r="UYP7" s="2206"/>
      <c r="UYQ7" s="2206"/>
      <c r="UYR7" s="2206"/>
      <c r="UYS7" s="2206"/>
      <c r="UYT7" s="2206"/>
      <c r="UYU7" s="2206"/>
      <c r="UYV7" s="2206"/>
      <c r="UYW7" s="2206"/>
      <c r="UYX7" s="2206"/>
      <c r="UYY7" s="2206"/>
      <c r="UYZ7" s="2206"/>
      <c r="UZA7" s="2206"/>
      <c r="UZB7" s="2206"/>
      <c r="UZC7" s="2206"/>
      <c r="UZD7" s="2206"/>
      <c r="UZE7" s="2206"/>
      <c r="UZF7" s="2206"/>
      <c r="UZG7" s="2206"/>
      <c r="UZH7" s="2206"/>
      <c r="UZI7" s="2206"/>
      <c r="UZJ7" s="2206"/>
      <c r="UZK7" s="2206"/>
      <c r="UZL7" s="2206"/>
      <c r="UZM7" s="2206"/>
      <c r="UZN7" s="2206"/>
      <c r="UZO7" s="2206"/>
      <c r="UZP7" s="2206"/>
      <c r="UZQ7" s="2206"/>
      <c r="UZR7" s="2206"/>
      <c r="UZS7" s="2206"/>
      <c r="UZT7" s="2206"/>
      <c r="UZU7" s="2206"/>
      <c r="UZV7" s="2206"/>
      <c r="UZW7" s="2206"/>
      <c r="UZX7" s="2206"/>
      <c r="UZY7" s="2206"/>
      <c r="UZZ7" s="2206"/>
      <c r="VAA7" s="2206"/>
      <c r="VAB7" s="2206"/>
      <c r="VAC7" s="2206"/>
      <c r="VAD7" s="2206"/>
      <c r="VAE7" s="2206"/>
      <c r="VAF7" s="2206"/>
      <c r="VAG7" s="2206"/>
      <c r="VAH7" s="2206"/>
      <c r="VAI7" s="2206"/>
      <c r="VAJ7" s="2206"/>
      <c r="VAK7" s="2206"/>
      <c r="VAL7" s="2206"/>
      <c r="VAM7" s="2206"/>
      <c r="VAN7" s="2206"/>
      <c r="VAO7" s="2206"/>
      <c r="VAP7" s="2206"/>
      <c r="VAQ7" s="2206"/>
      <c r="VAR7" s="2206"/>
      <c r="VAS7" s="2206"/>
      <c r="VAT7" s="2206"/>
      <c r="VAU7" s="2206"/>
      <c r="VAV7" s="2206"/>
      <c r="VAW7" s="2206"/>
      <c r="VAX7" s="2206"/>
      <c r="VAY7" s="2206"/>
      <c r="VAZ7" s="2206"/>
      <c r="VBA7" s="2206"/>
      <c r="VBB7" s="2206"/>
      <c r="VBC7" s="2206"/>
      <c r="VBD7" s="2206"/>
      <c r="VBE7" s="2206"/>
      <c r="VBF7" s="2206"/>
      <c r="VBG7" s="2206"/>
      <c r="VBH7" s="2206"/>
      <c r="VBI7" s="2206"/>
      <c r="VBJ7" s="2206"/>
      <c r="VBK7" s="2206"/>
      <c r="VBL7" s="2206"/>
      <c r="VBM7" s="2206"/>
      <c r="VBN7" s="2206"/>
      <c r="VBO7" s="2206"/>
      <c r="VBP7" s="2206"/>
      <c r="VBQ7" s="2206"/>
      <c r="VBR7" s="2206"/>
      <c r="VBS7" s="2206"/>
      <c r="VBT7" s="2206"/>
      <c r="VBU7" s="2206"/>
      <c r="VBV7" s="2206"/>
      <c r="VBW7" s="2206"/>
      <c r="VBX7" s="2206"/>
      <c r="VBY7" s="2206"/>
      <c r="VBZ7" s="2206"/>
      <c r="VCA7" s="2206"/>
      <c r="VCB7" s="2206"/>
      <c r="VCC7" s="2206"/>
      <c r="VCD7" s="2206"/>
      <c r="VCE7" s="2206"/>
      <c r="VCF7" s="2206"/>
      <c r="VCG7" s="2206"/>
      <c r="VCH7" s="2206"/>
      <c r="VCI7" s="2206"/>
      <c r="VCJ7" s="2206"/>
      <c r="VCK7" s="2206"/>
      <c r="VCL7" s="2206"/>
      <c r="VCM7" s="2206"/>
      <c r="VCN7" s="2206"/>
      <c r="VCO7" s="2206"/>
      <c r="VCP7" s="2206"/>
      <c r="VCQ7" s="2206"/>
      <c r="VCR7" s="2206"/>
      <c r="VCS7" s="2206"/>
      <c r="VCT7" s="2206"/>
      <c r="VCU7" s="2206"/>
      <c r="VCV7" s="2206"/>
      <c r="VCW7" s="2206"/>
      <c r="VCX7" s="2206"/>
      <c r="VCY7" s="2206"/>
      <c r="VCZ7" s="2206"/>
      <c r="VDA7" s="2206"/>
      <c r="VDB7" s="2206"/>
      <c r="VDC7" s="2206"/>
      <c r="VDD7" s="2206"/>
      <c r="VDE7" s="2206"/>
      <c r="VDF7" s="2206"/>
      <c r="VDG7" s="2206"/>
      <c r="VDH7" s="2206"/>
      <c r="VDI7" s="2206"/>
      <c r="VDJ7" s="2206"/>
      <c r="VDK7" s="2206"/>
      <c r="VDL7" s="2206"/>
      <c r="VDM7" s="2206"/>
      <c r="VDN7" s="2206"/>
      <c r="VDO7" s="2206"/>
      <c r="VDP7" s="2206"/>
      <c r="VDQ7" s="2206"/>
      <c r="VDR7" s="2206"/>
      <c r="VDS7" s="2206"/>
      <c r="VDT7" s="2206"/>
      <c r="VDU7" s="2206"/>
      <c r="VDV7" s="2206"/>
      <c r="VDW7" s="2206"/>
      <c r="VDX7" s="2206"/>
      <c r="VDY7" s="2206"/>
      <c r="VDZ7" s="2206"/>
      <c r="VEA7" s="2206"/>
      <c r="VEB7" s="2206"/>
      <c r="VEC7" s="2206"/>
      <c r="VED7" s="2206"/>
      <c r="VEE7" s="2206"/>
      <c r="VEF7" s="2206"/>
      <c r="VEG7" s="2206"/>
      <c r="VEH7" s="2206"/>
      <c r="VEI7" s="2206"/>
      <c r="VEJ7" s="2206"/>
      <c r="VEK7" s="2206"/>
      <c r="VEL7" s="2206"/>
      <c r="VEM7" s="2206"/>
      <c r="VEN7" s="2206"/>
      <c r="VEO7" s="2206"/>
      <c r="VEP7" s="2206"/>
      <c r="VEQ7" s="2206"/>
      <c r="VER7" s="2206"/>
      <c r="VES7" s="2206"/>
      <c r="VET7" s="2206"/>
      <c r="VEU7" s="2206"/>
      <c r="VEV7" s="2206"/>
      <c r="VEW7" s="2206"/>
      <c r="VEX7" s="2206"/>
      <c r="VEY7" s="2206"/>
      <c r="VEZ7" s="2206"/>
      <c r="VFA7" s="2206"/>
      <c r="VFB7" s="2206"/>
      <c r="VFC7" s="2206"/>
      <c r="VFD7" s="2206"/>
      <c r="VFE7" s="2206"/>
      <c r="VFF7" s="2206"/>
      <c r="VFG7" s="2206"/>
      <c r="VFH7" s="2206"/>
      <c r="VFI7" s="2206"/>
      <c r="VFJ7" s="2206"/>
      <c r="VFK7" s="2206"/>
      <c r="VFL7" s="2206"/>
      <c r="VFM7" s="2206"/>
      <c r="VFN7" s="2206"/>
      <c r="VFO7" s="2206"/>
      <c r="VFP7" s="2206"/>
      <c r="VFQ7" s="2206"/>
      <c r="VFR7" s="2206"/>
      <c r="VFS7" s="2206"/>
      <c r="VFT7" s="2206"/>
      <c r="VFU7" s="2206"/>
      <c r="VFV7" s="2206"/>
      <c r="VFW7" s="2206"/>
      <c r="VFX7" s="2206"/>
      <c r="VFY7" s="2206"/>
      <c r="VFZ7" s="2206"/>
      <c r="VGA7" s="2206"/>
      <c r="VGB7" s="2206"/>
      <c r="VGC7" s="2206"/>
      <c r="VGD7" s="2206"/>
      <c r="VGE7" s="2206"/>
      <c r="VGF7" s="2206"/>
      <c r="VGG7" s="2206"/>
      <c r="VGH7" s="2206"/>
      <c r="VGI7" s="2206"/>
      <c r="VGJ7" s="2206"/>
      <c r="VGK7" s="2206"/>
      <c r="VGL7" s="2206"/>
      <c r="VGM7" s="2206"/>
      <c r="VGN7" s="2206"/>
      <c r="VGO7" s="2206"/>
      <c r="VGP7" s="2206"/>
      <c r="VGQ7" s="2206"/>
      <c r="VGR7" s="2206"/>
      <c r="VGS7" s="2206"/>
      <c r="VGT7" s="2206"/>
      <c r="VGU7" s="2206"/>
      <c r="VGV7" s="2206"/>
      <c r="VGW7" s="2206"/>
      <c r="VGX7" s="2206"/>
      <c r="VGY7" s="2206"/>
      <c r="VGZ7" s="2206"/>
      <c r="VHA7" s="2206"/>
      <c r="VHB7" s="2206"/>
      <c r="VHC7" s="2206"/>
      <c r="VHD7" s="2206"/>
      <c r="VHE7" s="2206"/>
      <c r="VHF7" s="2206"/>
      <c r="VHG7" s="2206"/>
      <c r="VHH7" s="2206"/>
      <c r="VHI7" s="2206"/>
      <c r="VHJ7" s="2206"/>
      <c r="VHK7" s="2206"/>
      <c r="VHL7" s="2206"/>
      <c r="VHM7" s="2206"/>
      <c r="VHN7" s="2206"/>
      <c r="VHO7" s="2206"/>
      <c r="VHP7" s="2206"/>
      <c r="VHQ7" s="2206"/>
      <c r="VHR7" s="2206"/>
      <c r="VHS7" s="2206"/>
      <c r="VHT7" s="2206"/>
      <c r="VHU7" s="2206"/>
      <c r="VHV7" s="2206"/>
      <c r="VHW7" s="2206"/>
      <c r="VHX7" s="2206"/>
      <c r="VHY7" s="2206"/>
      <c r="VHZ7" s="2206"/>
      <c r="VIA7" s="2206"/>
      <c r="VIB7" s="2206"/>
      <c r="VIC7" s="2206"/>
      <c r="VID7" s="2206"/>
      <c r="VIE7" s="2206"/>
      <c r="VIF7" s="2206"/>
      <c r="VIG7" s="2206"/>
      <c r="VIH7" s="2206"/>
      <c r="VII7" s="2206"/>
      <c r="VIJ7" s="2206"/>
      <c r="VIK7" s="2206"/>
      <c r="VIL7" s="2206"/>
      <c r="VIM7" s="2206"/>
      <c r="VIN7" s="2206"/>
      <c r="VIO7" s="2206"/>
      <c r="VIP7" s="2206"/>
      <c r="VIQ7" s="2206"/>
      <c r="VIR7" s="2206"/>
      <c r="VIS7" s="2206"/>
      <c r="VIT7" s="2206"/>
      <c r="VIU7" s="2206"/>
      <c r="VIV7" s="2206"/>
      <c r="VIW7" s="2206"/>
      <c r="VIX7" s="2206"/>
      <c r="VIY7" s="2206"/>
      <c r="VIZ7" s="2206"/>
      <c r="VJA7" s="2206"/>
      <c r="VJB7" s="2206"/>
      <c r="VJC7" s="2206"/>
      <c r="VJD7" s="2206"/>
      <c r="VJE7" s="2206"/>
      <c r="VJF7" s="2206"/>
      <c r="VJG7" s="2206"/>
      <c r="VJH7" s="2206"/>
      <c r="VJI7" s="2206"/>
      <c r="VJJ7" s="2206"/>
      <c r="VJK7" s="2206"/>
      <c r="VJL7" s="2206"/>
      <c r="VJM7" s="2206"/>
      <c r="VJN7" s="2206"/>
      <c r="VJO7" s="2206"/>
      <c r="VJP7" s="2206"/>
      <c r="VJQ7" s="2206"/>
      <c r="VJR7" s="2206"/>
      <c r="VJS7" s="2206"/>
      <c r="VJT7" s="2206"/>
      <c r="VJU7" s="2206"/>
      <c r="VJV7" s="2206"/>
      <c r="VJW7" s="2206"/>
      <c r="VJX7" s="2206"/>
      <c r="VJY7" s="2206"/>
      <c r="VJZ7" s="2206"/>
      <c r="VKA7" s="2206"/>
      <c r="VKB7" s="2206"/>
      <c r="VKC7" s="2206"/>
      <c r="VKD7" s="2206"/>
      <c r="VKE7" s="2206"/>
      <c r="VKF7" s="2206"/>
      <c r="VKG7" s="2206"/>
      <c r="VKH7" s="2206"/>
      <c r="VKI7" s="2206"/>
      <c r="VKJ7" s="2206"/>
      <c r="VKK7" s="2206"/>
      <c r="VKL7" s="2206"/>
      <c r="VKM7" s="2206"/>
      <c r="VKN7" s="2206"/>
      <c r="VKO7" s="2206"/>
      <c r="VKP7" s="2206"/>
      <c r="VKQ7" s="2206"/>
      <c r="VKR7" s="2206"/>
      <c r="VKS7" s="2206"/>
      <c r="VKT7" s="2206"/>
      <c r="VKU7" s="2206"/>
      <c r="VKV7" s="2206"/>
      <c r="VKW7" s="2206"/>
      <c r="VKX7" s="2206"/>
      <c r="VKY7" s="2206"/>
      <c r="VKZ7" s="2206"/>
      <c r="VLA7" s="2206"/>
      <c r="VLB7" s="2206"/>
      <c r="VLC7" s="2206"/>
      <c r="VLD7" s="2206"/>
      <c r="VLE7" s="2206"/>
      <c r="VLF7" s="2206"/>
      <c r="VLG7" s="2206"/>
      <c r="VLH7" s="2206"/>
      <c r="VLI7" s="2206"/>
      <c r="VLJ7" s="2206"/>
      <c r="VLK7" s="2206"/>
      <c r="VLL7" s="2206"/>
      <c r="VLM7" s="2206"/>
      <c r="VLN7" s="2206"/>
      <c r="VLO7" s="2206"/>
      <c r="VLP7" s="2206"/>
      <c r="VLQ7" s="2206"/>
      <c r="VLR7" s="2206"/>
      <c r="VLS7" s="2206"/>
      <c r="VLT7" s="2206"/>
      <c r="VLU7" s="2206"/>
      <c r="VLV7" s="2206"/>
      <c r="VLW7" s="2206"/>
      <c r="VLX7" s="2206"/>
      <c r="VLY7" s="2206"/>
      <c r="VLZ7" s="2206"/>
      <c r="VMA7" s="2206"/>
      <c r="VMB7" s="2206"/>
      <c r="VMC7" s="2206"/>
      <c r="VMD7" s="2206"/>
      <c r="VME7" s="2206"/>
      <c r="VMF7" s="2206"/>
      <c r="VMG7" s="2206"/>
      <c r="VMH7" s="2206"/>
      <c r="VMI7" s="2206"/>
      <c r="VMJ7" s="2206"/>
      <c r="VMK7" s="2206"/>
      <c r="VML7" s="2206"/>
      <c r="VMM7" s="2206"/>
      <c r="VMN7" s="2206"/>
      <c r="VMO7" s="2206"/>
      <c r="VMP7" s="2206"/>
      <c r="VMQ7" s="2206"/>
      <c r="VMR7" s="2206"/>
      <c r="VMS7" s="2206"/>
      <c r="VMT7" s="2206"/>
      <c r="VMU7" s="2206"/>
      <c r="VMV7" s="2206"/>
      <c r="VMW7" s="2206"/>
      <c r="VMX7" s="2206"/>
      <c r="VMY7" s="2206"/>
      <c r="VMZ7" s="2206"/>
      <c r="VNA7" s="2206"/>
      <c r="VNB7" s="2206"/>
      <c r="VNC7" s="2206"/>
      <c r="VND7" s="2206"/>
      <c r="VNE7" s="2206"/>
      <c r="VNF7" s="2206"/>
      <c r="VNG7" s="2206"/>
      <c r="VNH7" s="2206"/>
      <c r="VNI7" s="2206"/>
      <c r="VNJ7" s="2206"/>
      <c r="VNK7" s="2206"/>
      <c r="VNL7" s="2206"/>
      <c r="VNM7" s="2206"/>
      <c r="VNN7" s="2206"/>
      <c r="VNO7" s="2206"/>
      <c r="VNP7" s="2206"/>
      <c r="VNQ7" s="2206"/>
      <c r="VNR7" s="2206"/>
      <c r="VNS7" s="2206"/>
      <c r="VNT7" s="2206"/>
      <c r="VNU7" s="2206"/>
      <c r="VNV7" s="2206"/>
      <c r="VNW7" s="2206"/>
      <c r="VNX7" s="2206"/>
      <c r="VNY7" s="2206"/>
      <c r="VNZ7" s="2206"/>
      <c r="VOA7" s="2206"/>
      <c r="VOB7" s="2206"/>
      <c r="VOC7" s="2206"/>
      <c r="VOD7" s="2206"/>
      <c r="VOE7" s="2206"/>
      <c r="VOF7" s="2206"/>
      <c r="VOG7" s="2206"/>
      <c r="VOH7" s="2206"/>
      <c r="VOI7" s="2206"/>
      <c r="VOJ7" s="2206"/>
      <c r="VOK7" s="2206"/>
      <c r="VOL7" s="2206"/>
      <c r="VOM7" s="2206"/>
      <c r="VON7" s="2206"/>
      <c r="VOO7" s="2206"/>
      <c r="VOP7" s="2206"/>
      <c r="VOQ7" s="2206"/>
      <c r="VOR7" s="2206"/>
      <c r="VOS7" s="2206"/>
      <c r="VOT7" s="2206"/>
      <c r="VOU7" s="2206"/>
      <c r="VOV7" s="2206"/>
      <c r="VOW7" s="2206"/>
      <c r="VOX7" s="2206"/>
      <c r="VOY7" s="2206"/>
      <c r="VOZ7" s="2206"/>
      <c r="VPA7" s="2206"/>
      <c r="VPB7" s="2206"/>
      <c r="VPC7" s="2206"/>
      <c r="VPD7" s="2206"/>
      <c r="VPE7" s="2206"/>
      <c r="VPF7" s="2206"/>
      <c r="VPG7" s="2206"/>
      <c r="VPH7" s="2206"/>
      <c r="VPI7" s="2206"/>
      <c r="VPJ7" s="2206"/>
      <c r="VPK7" s="2206"/>
      <c r="VPL7" s="2206"/>
      <c r="VPM7" s="2206"/>
      <c r="VPN7" s="2206"/>
      <c r="VPO7" s="2206"/>
      <c r="VPP7" s="2206"/>
      <c r="VPQ7" s="2206"/>
      <c r="VPR7" s="2206"/>
      <c r="VPS7" s="2206"/>
      <c r="VPT7" s="2206"/>
      <c r="VPU7" s="2206"/>
      <c r="VPV7" s="2206"/>
      <c r="VPW7" s="2206"/>
      <c r="VPX7" s="2206"/>
      <c r="VPY7" s="2206"/>
      <c r="VPZ7" s="2206"/>
      <c r="VQA7" s="2206"/>
      <c r="VQB7" s="2206"/>
      <c r="VQC7" s="2206"/>
      <c r="VQD7" s="2206"/>
      <c r="VQE7" s="2206"/>
      <c r="VQF7" s="2206"/>
      <c r="VQG7" s="2206"/>
      <c r="VQH7" s="2206"/>
      <c r="VQI7" s="2206"/>
      <c r="VQJ7" s="2206"/>
      <c r="VQK7" s="2206"/>
      <c r="VQL7" s="2206"/>
      <c r="VQM7" s="2206"/>
      <c r="VQN7" s="2206"/>
      <c r="VQO7" s="2206"/>
      <c r="VQP7" s="2206"/>
      <c r="VQQ7" s="2206"/>
      <c r="VQR7" s="2206"/>
      <c r="VQS7" s="2206"/>
      <c r="VQT7" s="2206"/>
      <c r="VQU7" s="2206"/>
      <c r="VQV7" s="2206"/>
      <c r="VQW7" s="2206"/>
      <c r="VQX7" s="2206"/>
      <c r="VQY7" s="2206"/>
      <c r="VQZ7" s="2206"/>
      <c r="VRA7" s="2206"/>
      <c r="VRB7" s="2206"/>
      <c r="VRC7" s="2206"/>
      <c r="VRD7" s="2206"/>
      <c r="VRE7" s="2206"/>
      <c r="VRF7" s="2206"/>
      <c r="VRG7" s="2206"/>
      <c r="VRH7" s="2206"/>
      <c r="VRI7" s="2206"/>
      <c r="VRJ7" s="2206"/>
      <c r="VRK7" s="2206"/>
      <c r="VRL7" s="2206"/>
      <c r="VRM7" s="2206"/>
      <c r="VRN7" s="2206"/>
      <c r="VRO7" s="2206"/>
      <c r="VRP7" s="2206"/>
      <c r="VRQ7" s="2206"/>
      <c r="VRR7" s="2206"/>
      <c r="VRS7" s="2206"/>
      <c r="VRT7" s="2206"/>
      <c r="VRU7" s="2206"/>
      <c r="VRV7" s="2206"/>
      <c r="VRW7" s="2206"/>
      <c r="VRX7" s="2206"/>
      <c r="VRY7" s="2206"/>
      <c r="VRZ7" s="2206"/>
      <c r="VSA7" s="2206"/>
      <c r="VSB7" s="2206"/>
      <c r="VSC7" s="2206"/>
      <c r="VSD7" s="2206"/>
      <c r="VSE7" s="2206"/>
      <c r="VSF7" s="2206"/>
      <c r="VSG7" s="2206"/>
      <c r="VSH7" s="2206"/>
      <c r="VSI7" s="2206"/>
      <c r="VSJ7" s="2206"/>
      <c r="VSK7" s="2206"/>
      <c r="VSL7" s="2206"/>
      <c r="VSM7" s="2206"/>
      <c r="VSN7" s="2206"/>
      <c r="VSO7" s="2206"/>
      <c r="VSP7" s="2206"/>
      <c r="VSQ7" s="2206"/>
      <c r="VSR7" s="2206"/>
      <c r="VSS7" s="2206"/>
      <c r="VST7" s="2206"/>
      <c r="VSU7" s="2206"/>
      <c r="VSV7" s="2206"/>
      <c r="VSW7" s="2206"/>
      <c r="VSX7" s="2206"/>
      <c r="VSY7" s="2206"/>
      <c r="VSZ7" s="2206"/>
      <c r="VTA7" s="2206"/>
      <c r="VTB7" s="2206"/>
      <c r="VTC7" s="2206"/>
      <c r="VTD7" s="2206"/>
      <c r="VTE7" s="2206"/>
      <c r="VTF7" s="2206"/>
      <c r="VTG7" s="2206"/>
      <c r="VTH7" s="2206"/>
      <c r="VTI7" s="2206"/>
      <c r="VTJ7" s="2206"/>
      <c r="VTK7" s="2206"/>
      <c r="VTL7" s="2206"/>
      <c r="VTM7" s="2206"/>
      <c r="VTN7" s="2206"/>
      <c r="VTO7" s="2206"/>
      <c r="VTP7" s="2206"/>
      <c r="VTQ7" s="2206"/>
      <c r="VTR7" s="2206"/>
      <c r="VTS7" s="2206"/>
      <c r="VTT7" s="2206"/>
      <c r="VTU7" s="2206"/>
      <c r="VTV7" s="2206"/>
      <c r="VTW7" s="2206"/>
      <c r="VTX7" s="2206"/>
      <c r="VTY7" s="2206"/>
      <c r="VTZ7" s="2206"/>
      <c r="VUA7" s="2206"/>
      <c r="VUB7" s="2206"/>
      <c r="VUC7" s="2206"/>
      <c r="VUD7" s="2206"/>
      <c r="VUE7" s="2206"/>
      <c r="VUF7" s="2206"/>
      <c r="VUG7" s="2206"/>
      <c r="VUH7" s="2206"/>
      <c r="VUI7" s="2206"/>
      <c r="VUJ7" s="2206"/>
      <c r="VUK7" s="2206"/>
      <c r="VUL7" s="2206"/>
      <c r="VUM7" s="2206"/>
      <c r="VUN7" s="2206"/>
      <c r="VUO7" s="2206"/>
      <c r="VUP7" s="2206"/>
      <c r="VUQ7" s="2206"/>
      <c r="VUR7" s="2206"/>
      <c r="VUS7" s="2206"/>
      <c r="VUT7" s="2206"/>
      <c r="VUU7" s="2206"/>
      <c r="VUV7" s="2206"/>
      <c r="VUW7" s="2206"/>
      <c r="VUX7" s="2206"/>
      <c r="VUY7" s="2206"/>
      <c r="VUZ7" s="2206"/>
      <c r="VVA7" s="2206"/>
      <c r="VVB7" s="2206"/>
      <c r="VVC7" s="2206"/>
      <c r="VVD7" s="2206"/>
      <c r="VVE7" s="2206"/>
      <c r="VVF7" s="2206"/>
      <c r="VVG7" s="2206"/>
      <c r="VVH7" s="2206"/>
      <c r="VVI7" s="2206"/>
      <c r="VVJ7" s="2206"/>
      <c r="VVK7" s="2206"/>
      <c r="VVL7" s="2206"/>
      <c r="VVM7" s="2206"/>
      <c r="VVN7" s="2206"/>
      <c r="VVO7" s="2206"/>
      <c r="VVP7" s="2206"/>
      <c r="VVQ7" s="2206"/>
      <c r="VVR7" s="2206"/>
      <c r="VVS7" s="2206"/>
      <c r="VVT7" s="2206"/>
      <c r="VVU7" s="2206"/>
      <c r="VVV7" s="2206"/>
      <c r="VVW7" s="2206"/>
      <c r="VVX7" s="2206"/>
      <c r="VVY7" s="2206"/>
      <c r="VVZ7" s="2206"/>
      <c r="VWA7" s="2206"/>
      <c r="VWB7" s="2206"/>
      <c r="VWC7" s="2206"/>
      <c r="VWD7" s="2206"/>
      <c r="VWE7" s="2206"/>
      <c r="VWF7" s="2206"/>
      <c r="VWG7" s="2206"/>
      <c r="VWH7" s="2206"/>
      <c r="VWI7" s="2206"/>
      <c r="VWJ7" s="2206"/>
      <c r="VWK7" s="2206"/>
      <c r="VWL7" s="2206"/>
      <c r="VWM7" s="2206"/>
      <c r="VWN7" s="2206"/>
      <c r="VWO7" s="2206"/>
      <c r="VWP7" s="2206"/>
      <c r="VWQ7" s="2206"/>
      <c r="VWR7" s="2206"/>
      <c r="VWS7" s="2206"/>
      <c r="VWT7" s="2206"/>
      <c r="VWU7" s="2206"/>
      <c r="VWV7" s="2206"/>
      <c r="VWW7" s="2206"/>
      <c r="VWX7" s="2206"/>
      <c r="VWY7" s="2206"/>
      <c r="VWZ7" s="2206"/>
      <c r="VXA7" s="2206"/>
      <c r="VXB7" s="2206"/>
      <c r="VXC7" s="2206"/>
      <c r="VXD7" s="2206"/>
      <c r="VXE7" s="2206"/>
      <c r="VXF7" s="2206"/>
      <c r="VXG7" s="2206"/>
      <c r="VXH7" s="2206"/>
      <c r="VXI7" s="2206"/>
      <c r="VXJ7" s="2206"/>
      <c r="VXK7" s="2206"/>
      <c r="VXL7" s="2206"/>
      <c r="VXM7" s="2206"/>
      <c r="VXN7" s="2206"/>
      <c r="VXO7" s="2206"/>
      <c r="VXP7" s="2206"/>
      <c r="VXQ7" s="2206"/>
      <c r="VXR7" s="2206"/>
      <c r="VXS7" s="2206"/>
      <c r="VXT7" s="2206"/>
      <c r="VXU7" s="2206"/>
      <c r="VXV7" s="2206"/>
      <c r="VXW7" s="2206"/>
      <c r="VXX7" s="2206"/>
      <c r="VXY7" s="2206"/>
      <c r="VXZ7" s="2206"/>
      <c r="VYA7" s="2206"/>
      <c r="VYB7" s="2206"/>
      <c r="VYC7" s="2206"/>
      <c r="VYD7" s="2206"/>
      <c r="VYE7" s="2206"/>
      <c r="VYF7" s="2206"/>
      <c r="VYG7" s="2206"/>
      <c r="VYH7" s="2206"/>
      <c r="VYI7" s="2206"/>
      <c r="VYJ7" s="2206"/>
      <c r="VYK7" s="2206"/>
      <c r="VYL7" s="2206"/>
      <c r="VYM7" s="2206"/>
      <c r="VYN7" s="2206"/>
      <c r="VYO7" s="2206"/>
      <c r="VYP7" s="2206"/>
      <c r="VYQ7" s="2206"/>
      <c r="VYR7" s="2206"/>
      <c r="VYS7" s="2206"/>
      <c r="VYT7" s="2206"/>
      <c r="VYU7" s="2206"/>
      <c r="VYV7" s="2206"/>
      <c r="VYW7" s="2206"/>
      <c r="VYX7" s="2206"/>
      <c r="VYY7" s="2206"/>
      <c r="VYZ7" s="2206"/>
      <c r="VZA7" s="2206"/>
      <c r="VZB7" s="2206"/>
      <c r="VZC7" s="2206"/>
      <c r="VZD7" s="2206"/>
      <c r="VZE7" s="2206"/>
      <c r="VZF7" s="2206"/>
      <c r="VZG7" s="2206"/>
      <c r="VZH7" s="2206"/>
      <c r="VZI7" s="2206"/>
      <c r="VZJ7" s="2206"/>
      <c r="VZK7" s="2206"/>
      <c r="VZL7" s="2206"/>
      <c r="VZM7" s="2206"/>
      <c r="VZN7" s="2206"/>
      <c r="VZO7" s="2206"/>
      <c r="VZP7" s="2206"/>
      <c r="VZQ7" s="2206"/>
      <c r="VZR7" s="2206"/>
      <c r="VZS7" s="2206"/>
      <c r="VZT7" s="2206"/>
      <c r="VZU7" s="2206"/>
      <c r="VZV7" s="2206"/>
      <c r="VZW7" s="2206"/>
      <c r="VZX7" s="2206"/>
      <c r="VZY7" s="2206"/>
      <c r="VZZ7" s="2206"/>
      <c r="WAA7" s="2206"/>
      <c r="WAB7" s="2206"/>
      <c r="WAC7" s="2206"/>
      <c r="WAD7" s="2206"/>
      <c r="WAE7" s="2206"/>
      <c r="WAF7" s="2206"/>
      <c r="WAG7" s="2206"/>
      <c r="WAH7" s="2206"/>
      <c r="WAI7" s="2206"/>
      <c r="WAJ7" s="2206"/>
      <c r="WAK7" s="2206"/>
      <c r="WAL7" s="2206"/>
      <c r="WAM7" s="2206"/>
      <c r="WAN7" s="2206"/>
      <c r="WAO7" s="2206"/>
      <c r="WAP7" s="2206"/>
      <c r="WAQ7" s="2206"/>
      <c r="WAR7" s="2206"/>
      <c r="WAS7" s="2206"/>
      <c r="WAT7" s="2206"/>
      <c r="WAU7" s="2206"/>
      <c r="WAV7" s="2206"/>
      <c r="WAW7" s="2206"/>
      <c r="WAX7" s="2206"/>
      <c r="WAY7" s="2206"/>
      <c r="WAZ7" s="2206"/>
      <c r="WBA7" s="2206"/>
      <c r="WBB7" s="2206"/>
      <c r="WBC7" s="2206"/>
      <c r="WBD7" s="2206"/>
      <c r="WBE7" s="2206"/>
      <c r="WBF7" s="2206"/>
      <c r="WBG7" s="2206"/>
      <c r="WBH7" s="2206"/>
      <c r="WBI7" s="2206"/>
      <c r="WBJ7" s="2206"/>
      <c r="WBK7" s="2206"/>
      <c r="WBL7" s="2206"/>
      <c r="WBM7" s="2206"/>
      <c r="WBN7" s="2206"/>
      <c r="WBO7" s="2206"/>
      <c r="WBP7" s="2206"/>
      <c r="WBQ7" s="2206"/>
      <c r="WBR7" s="2206"/>
      <c r="WBS7" s="2206"/>
      <c r="WBT7" s="2206"/>
      <c r="WBU7" s="2206"/>
      <c r="WBV7" s="2206"/>
      <c r="WBW7" s="2206"/>
      <c r="WBX7" s="2206"/>
      <c r="WBY7" s="2206"/>
      <c r="WBZ7" s="2206"/>
      <c r="WCA7" s="2206"/>
      <c r="WCB7" s="2206"/>
      <c r="WCC7" s="2206"/>
      <c r="WCD7" s="2206"/>
      <c r="WCE7" s="2206"/>
      <c r="WCF7" s="2206"/>
      <c r="WCG7" s="2206"/>
      <c r="WCH7" s="2206"/>
      <c r="WCI7" s="2206"/>
      <c r="WCJ7" s="2206"/>
      <c r="WCK7" s="2206"/>
      <c r="WCL7" s="2206"/>
      <c r="WCM7" s="2206"/>
      <c r="WCN7" s="2206"/>
      <c r="WCO7" s="2206"/>
      <c r="WCP7" s="2206"/>
      <c r="WCQ7" s="2206"/>
      <c r="WCR7" s="2206"/>
      <c r="WCS7" s="2206"/>
      <c r="WCT7" s="2206"/>
      <c r="WCU7" s="2206"/>
      <c r="WCV7" s="2206"/>
      <c r="WCW7" s="2206"/>
      <c r="WCX7" s="2206"/>
      <c r="WCY7" s="2206"/>
      <c r="WCZ7" s="2206"/>
      <c r="WDA7" s="2206"/>
      <c r="WDB7" s="2206"/>
      <c r="WDC7" s="2206"/>
      <c r="WDD7" s="2206"/>
      <c r="WDE7" s="2206"/>
      <c r="WDF7" s="2206"/>
      <c r="WDG7" s="2206"/>
      <c r="WDH7" s="2206"/>
      <c r="WDI7" s="2206"/>
      <c r="WDJ7" s="2206"/>
      <c r="WDK7" s="2206"/>
      <c r="WDL7" s="2206"/>
      <c r="WDM7" s="2206"/>
      <c r="WDN7" s="2206"/>
      <c r="WDO7" s="2206"/>
      <c r="WDP7" s="2206"/>
      <c r="WDQ7" s="2206"/>
      <c r="WDR7" s="2206"/>
      <c r="WDS7" s="2206"/>
      <c r="WDT7" s="2206"/>
      <c r="WDU7" s="2206"/>
      <c r="WDV7" s="2206"/>
      <c r="WDW7" s="2206"/>
      <c r="WDX7" s="2206"/>
      <c r="WDY7" s="2206"/>
      <c r="WDZ7" s="2206"/>
      <c r="WEA7" s="2206"/>
      <c r="WEB7" s="2206"/>
      <c r="WEC7" s="2206"/>
      <c r="WED7" s="2206"/>
      <c r="WEE7" s="2206"/>
      <c r="WEF7" s="2206"/>
      <c r="WEG7" s="2206"/>
      <c r="WEH7" s="2206"/>
      <c r="WEI7" s="2206"/>
      <c r="WEJ7" s="2206"/>
      <c r="WEK7" s="2206"/>
      <c r="WEL7" s="2206"/>
      <c r="WEM7" s="2206"/>
      <c r="WEN7" s="2206"/>
      <c r="WEO7" s="2206"/>
      <c r="WEP7" s="2206"/>
      <c r="WEQ7" s="2206"/>
      <c r="WER7" s="2206"/>
      <c r="WES7" s="2206"/>
      <c r="WET7" s="2206"/>
      <c r="WEU7" s="2206"/>
      <c r="WEV7" s="2206"/>
      <c r="WEW7" s="2206"/>
      <c r="WEX7" s="2206"/>
      <c r="WEY7" s="2206"/>
      <c r="WEZ7" s="2206"/>
      <c r="WFA7" s="2206"/>
      <c r="WFB7" s="2206"/>
      <c r="WFC7" s="2206"/>
      <c r="WFD7" s="2206"/>
      <c r="WFE7" s="2206"/>
      <c r="WFF7" s="2206"/>
      <c r="WFG7" s="2206"/>
      <c r="WFH7" s="2206"/>
      <c r="WFI7" s="2206"/>
      <c r="WFJ7" s="2206"/>
      <c r="WFK7" s="2206"/>
      <c r="WFL7" s="2206"/>
      <c r="WFM7" s="2206"/>
      <c r="WFN7" s="2206"/>
      <c r="WFO7" s="2206"/>
      <c r="WFP7" s="2206"/>
      <c r="WFQ7" s="2206"/>
      <c r="WFR7" s="2206"/>
      <c r="WFS7" s="2206"/>
      <c r="WFT7" s="2206"/>
      <c r="WFU7" s="2206"/>
      <c r="WFV7" s="2206"/>
      <c r="WFW7" s="2206"/>
      <c r="WFX7" s="2206"/>
      <c r="WFY7" s="2206"/>
      <c r="WFZ7" s="2206"/>
      <c r="WGA7" s="2206"/>
      <c r="WGB7" s="2206"/>
      <c r="WGC7" s="2206"/>
      <c r="WGD7" s="2206"/>
      <c r="WGE7" s="2206"/>
      <c r="WGF7" s="2206"/>
      <c r="WGG7" s="2206"/>
      <c r="WGH7" s="2206"/>
      <c r="WGI7" s="2206"/>
      <c r="WGJ7" s="2206"/>
      <c r="WGK7" s="2206"/>
      <c r="WGL7" s="2206"/>
      <c r="WGM7" s="2206"/>
      <c r="WGN7" s="2206"/>
      <c r="WGO7" s="2206"/>
      <c r="WGP7" s="2206"/>
      <c r="WGQ7" s="2206"/>
      <c r="WGR7" s="2206"/>
      <c r="WGS7" s="2206"/>
      <c r="WGT7" s="2206"/>
      <c r="WGU7" s="2206"/>
      <c r="WGV7" s="2206"/>
      <c r="WGW7" s="2206"/>
      <c r="WGX7" s="2206"/>
      <c r="WGY7" s="2206"/>
      <c r="WGZ7" s="2206"/>
      <c r="WHA7" s="2206"/>
      <c r="WHB7" s="2206"/>
      <c r="WHC7" s="2206"/>
      <c r="WHD7" s="2206"/>
      <c r="WHE7" s="2206"/>
      <c r="WHF7" s="2206"/>
      <c r="WHG7" s="2206"/>
      <c r="WHH7" s="2206"/>
      <c r="WHI7" s="2206"/>
      <c r="WHJ7" s="2206"/>
      <c r="WHK7" s="2206"/>
      <c r="WHL7" s="2206"/>
      <c r="WHM7" s="2206"/>
      <c r="WHN7" s="2206"/>
      <c r="WHO7" s="2206"/>
      <c r="WHP7" s="2206"/>
      <c r="WHQ7" s="2206"/>
      <c r="WHR7" s="2206"/>
      <c r="WHS7" s="2206"/>
      <c r="WHT7" s="2206"/>
      <c r="WHU7" s="2206"/>
      <c r="WHV7" s="2206"/>
      <c r="WHW7" s="2206"/>
      <c r="WHX7" s="2206"/>
      <c r="WHY7" s="2206"/>
      <c r="WHZ7" s="2206"/>
      <c r="WIA7" s="2206"/>
      <c r="WIB7" s="2206"/>
      <c r="WIC7" s="2206"/>
      <c r="WID7" s="2206"/>
      <c r="WIE7" s="2206"/>
      <c r="WIF7" s="2206"/>
      <c r="WIG7" s="2206"/>
      <c r="WIH7" s="2206"/>
      <c r="WII7" s="2206"/>
      <c r="WIJ7" s="2206"/>
      <c r="WIK7" s="2206"/>
      <c r="WIL7" s="2206"/>
      <c r="WIM7" s="2206"/>
      <c r="WIN7" s="2206"/>
      <c r="WIO7" s="2206"/>
      <c r="WIP7" s="2206"/>
      <c r="WIQ7" s="2206"/>
      <c r="WIR7" s="2206"/>
      <c r="WIS7" s="2206"/>
      <c r="WIT7" s="2206"/>
      <c r="WIU7" s="2206"/>
      <c r="WIV7" s="2206"/>
      <c r="WIW7" s="2206"/>
      <c r="WIX7" s="2206"/>
      <c r="WIY7" s="2206"/>
      <c r="WIZ7" s="2206"/>
      <c r="WJA7" s="2206"/>
      <c r="WJB7" s="2206"/>
      <c r="WJC7" s="2206"/>
      <c r="WJD7" s="2206"/>
      <c r="WJE7" s="2206"/>
      <c r="WJF7" s="2206"/>
      <c r="WJG7" s="2206"/>
      <c r="WJH7" s="2206"/>
      <c r="WJI7" s="2206"/>
      <c r="WJJ7" s="2206"/>
      <c r="WJK7" s="2206"/>
      <c r="WJL7" s="2206"/>
      <c r="WJM7" s="2206"/>
      <c r="WJN7" s="2206"/>
      <c r="WJO7" s="2206"/>
      <c r="WJP7" s="2206"/>
      <c r="WJQ7" s="2206"/>
      <c r="WJR7" s="2206"/>
      <c r="WJS7" s="2206"/>
      <c r="WJT7" s="2206"/>
      <c r="WJU7" s="2206"/>
      <c r="WJV7" s="2206"/>
      <c r="WJW7" s="2206"/>
      <c r="WJX7" s="2206"/>
      <c r="WJY7" s="2206"/>
      <c r="WJZ7" s="2206"/>
      <c r="WKA7" s="2206"/>
      <c r="WKB7" s="2206"/>
      <c r="WKC7" s="2206"/>
      <c r="WKD7" s="2206"/>
      <c r="WKE7" s="2206"/>
      <c r="WKF7" s="2206"/>
      <c r="WKG7" s="2206"/>
      <c r="WKH7" s="2206"/>
      <c r="WKI7" s="2206"/>
      <c r="WKJ7" s="2206"/>
      <c r="WKK7" s="2206"/>
      <c r="WKL7" s="2206"/>
      <c r="WKM7" s="2206"/>
      <c r="WKN7" s="2206"/>
      <c r="WKO7" s="2206"/>
      <c r="WKP7" s="2206"/>
      <c r="WKQ7" s="2206"/>
      <c r="WKR7" s="2206"/>
      <c r="WKS7" s="2206"/>
      <c r="WKT7" s="2206"/>
      <c r="WKU7" s="2206"/>
      <c r="WKV7" s="2206"/>
      <c r="WKW7" s="2206"/>
      <c r="WKX7" s="2206"/>
      <c r="WKY7" s="2206"/>
      <c r="WKZ7" s="2206"/>
      <c r="WLA7" s="2206"/>
      <c r="WLB7" s="2206"/>
      <c r="WLC7" s="2206"/>
      <c r="WLD7" s="2206"/>
      <c r="WLE7" s="2206"/>
      <c r="WLF7" s="2206"/>
      <c r="WLG7" s="2206"/>
      <c r="WLH7" s="2206"/>
      <c r="WLI7" s="2206"/>
      <c r="WLJ7" s="2206"/>
      <c r="WLK7" s="2206"/>
      <c r="WLL7" s="2206"/>
      <c r="WLM7" s="2206"/>
      <c r="WLN7" s="2206"/>
      <c r="WLO7" s="2206"/>
      <c r="WLP7" s="2206"/>
      <c r="WLQ7" s="2206"/>
      <c r="WLR7" s="2206"/>
      <c r="WLS7" s="2206"/>
      <c r="WLT7" s="2206"/>
      <c r="WLU7" s="2206"/>
      <c r="WLV7" s="2206"/>
      <c r="WLW7" s="2206"/>
      <c r="WLX7" s="2206"/>
      <c r="WLY7" s="2206"/>
      <c r="WLZ7" s="2206"/>
      <c r="WMA7" s="2206"/>
      <c r="WMB7" s="2206"/>
      <c r="WMC7" s="2206"/>
      <c r="WMD7" s="2206"/>
      <c r="WME7" s="2206"/>
      <c r="WMF7" s="2206"/>
      <c r="WMG7" s="2206"/>
      <c r="WMH7" s="2206"/>
      <c r="WMI7" s="2206"/>
      <c r="WMJ7" s="2206"/>
      <c r="WMK7" s="2206"/>
      <c r="WML7" s="2206"/>
      <c r="WMM7" s="2206"/>
      <c r="WMN7" s="2206"/>
      <c r="WMO7" s="2206"/>
      <c r="WMP7" s="2206"/>
      <c r="WMQ7" s="2206"/>
      <c r="WMR7" s="2206"/>
      <c r="WMS7" s="2206"/>
      <c r="WMT7" s="2206"/>
      <c r="WMU7" s="2206"/>
      <c r="WMV7" s="2206"/>
      <c r="WMW7" s="2206"/>
      <c r="WMX7" s="2206"/>
      <c r="WMY7" s="2206"/>
      <c r="WMZ7" s="2206"/>
      <c r="WNA7" s="2206"/>
      <c r="WNB7" s="2206"/>
      <c r="WNC7" s="2206"/>
      <c r="WND7" s="2206"/>
      <c r="WNE7" s="2206"/>
      <c r="WNF7" s="2206"/>
      <c r="WNG7" s="2206"/>
      <c r="WNH7" s="2206"/>
      <c r="WNI7" s="2206"/>
      <c r="WNJ7" s="2206"/>
      <c r="WNK7" s="2206"/>
      <c r="WNL7" s="2206"/>
      <c r="WNM7" s="2206"/>
      <c r="WNN7" s="2206"/>
      <c r="WNO7" s="2206"/>
      <c r="WNP7" s="2206"/>
      <c r="WNQ7" s="2206"/>
      <c r="WNR7" s="2206"/>
      <c r="WNS7" s="2206"/>
      <c r="WNT7" s="2206"/>
      <c r="WNU7" s="2206"/>
      <c r="WNV7" s="2206"/>
      <c r="WNW7" s="2206"/>
      <c r="WNX7" s="2206"/>
      <c r="WNY7" s="2206"/>
      <c r="WNZ7" s="2206"/>
      <c r="WOA7" s="2206"/>
      <c r="WOB7" s="2206"/>
      <c r="WOC7" s="2206"/>
      <c r="WOD7" s="2206"/>
      <c r="WOE7" s="2206"/>
      <c r="WOF7" s="2206"/>
      <c r="WOG7" s="2206"/>
      <c r="WOH7" s="2206"/>
      <c r="WOI7" s="2206"/>
      <c r="WOJ7" s="2206"/>
      <c r="WOK7" s="2206"/>
      <c r="WOL7" s="2206"/>
      <c r="WOM7" s="2206"/>
      <c r="WON7" s="2206"/>
      <c r="WOO7" s="2206"/>
      <c r="WOP7" s="2206"/>
      <c r="WOQ7" s="2206"/>
      <c r="WOR7" s="2206"/>
      <c r="WOS7" s="2206"/>
      <c r="WOT7" s="2206"/>
      <c r="WOU7" s="2206"/>
      <c r="WOV7" s="2206"/>
      <c r="WOW7" s="2206"/>
      <c r="WOX7" s="2206"/>
      <c r="WOY7" s="2206"/>
      <c r="WOZ7" s="2206"/>
      <c r="WPA7" s="2206"/>
      <c r="WPB7" s="2206"/>
      <c r="WPC7" s="2206"/>
      <c r="WPD7" s="2206"/>
      <c r="WPE7" s="2206"/>
      <c r="WPF7" s="2206"/>
      <c r="WPG7" s="2206"/>
      <c r="WPH7" s="2206"/>
      <c r="WPI7" s="2206"/>
      <c r="WPJ7" s="2206"/>
      <c r="WPK7" s="2206"/>
      <c r="WPL7" s="2206"/>
      <c r="WPM7" s="2206"/>
      <c r="WPN7" s="2206"/>
      <c r="WPO7" s="2206"/>
      <c r="WPP7" s="2206"/>
      <c r="WPQ7" s="2206"/>
      <c r="WPR7" s="2206"/>
      <c r="WPS7" s="2206"/>
      <c r="WPT7" s="2206"/>
      <c r="WPU7" s="2206"/>
      <c r="WPV7" s="2206"/>
      <c r="WPW7" s="2206"/>
      <c r="WPX7" s="2206"/>
      <c r="WPY7" s="2206"/>
      <c r="WPZ7" s="2206"/>
      <c r="WQA7" s="2206"/>
      <c r="WQB7" s="2206"/>
      <c r="WQC7" s="2206"/>
      <c r="WQD7" s="2206"/>
      <c r="WQE7" s="2206"/>
      <c r="WQF7" s="2206"/>
      <c r="WQG7" s="2206"/>
      <c r="WQH7" s="2206"/>
      <c r="WQI7" s="2206"/>
      <c r="WQJ7" s="2206"/>
      <c r="WQK7" s="2206"/>
      <c r="WQL7" s="2206"/>
      <c r="WQM7" s="2206"/>
      <c r="WQN7" s="2206"/>
      <c r="WQO7" s="2206"/>
      <c r="WQP7" s="2206"/>
      <c r="WQQ7" s="2206"/>
      <c r="WQR7" s="2206"/>
      <c r="WQS7" s="2206"/>
      <c r="WQT7" s="2206"/>
      <c r="WQU7" s="2206"/>
      <c r="WQV7" s="2206"/>
      <c r="WQW7" s="2206"/>
      <c r="WQX7" s="2206"/>
      <c r="WQY7" s="2206"/>
      <c r="WQZ7" s="2206"/>
      <c r="WRA7" s="2206"/>
      <c r="WRB7" s="2206"/>
      <c r="WRC7" s="2206"/>
      <c r="WRD7" s="2206"/>
      <c r="WRE7" s="2206"/>
      <c r="WRF7" s="2206"/>
      <c r="WRG7" s="2206"/>
      <c r="WRH7" s="2206"/>
      <c r="WRI7" s="2206"/>
      <c r="WRJ7" s="2206"/>
      <c r="WRK7" s="2206"/>
      <c r="WRL7" s="2206"/>
      <c r="WRM7" s="2206"/>
      <c r="WRN7" s="2206"/>
      <c r="WRO7" s="2206"/>
      <c r="WRP7" s="2206"/>
      <c r="WRQ7" s="2206"/>
      <c r="WRR7" s="2206"/>
      <c r="WRS7" s="2206"/>
      <c r="WRT7" s="2206"/>
      <c r="WRU7" s="2206"/>
      <c r="WRV7" s="2206"/>
      <c r="WRW7" s="2206"/>
      <c r="WRX7" s="2206"/>
      <c r="WRY7" s="2206"/>
      <c r="WRZ7" s="2206"/>
      <c r="WSA7" s="2206"/>
      <c r="WSB7" s="2206"/>
      <c r="WSC7" s="2206"/>
      <c r="WSD7" s="2206"/>
      <c r="WSE7" s="2206"/>
      <c r="WSF7" s="2206"/>
      <c r="WSG7" s="2206"/>
      <c r="WSH7" s="2206"/>
      <c r="WSI7" s="2206"/>
      <c r="WSJ7" s="2206"/>
      <c r="WSK7" s="2206"/>
      <c r="WSL7" s="2206"/>
      <c r="WSM7" s="2206"/>
      <c r="WSN7" s="2206"/>
      <c r="WSO7" s="2206"/>
      <c r="WSP7" s="2206"/>
      <c r="WSQ7" s="2206"/>
      <c r="WSR7" s="2206"/>
      <c r="WSS7" s="2206"/>
      <c r="WST7" s="2206"/>
      <c r="WSU7" s="2206"/>
      <c r="WSV7" s="2206"/>
      <c r="WSW7" s="2206"/>
      <c r="WSX7" s="2206"/>
      <c r="WSY7" s="2206"/>
      <c r="WSZ7" s="2206"/>
      <c r="WTA7" s="2206"/>
      <c r="WTB7" s="2206"/>
      <c r="WTC7" s="2206"/>
      <c r="WTD7" s="2206"/>
      <c r="WTE7" s="2206"/>
      <c r="WTF7" s="2206"/>
      <c r="WTG7" s="2206"/>
      <c r="WTH7" s="2206"/>
      <c r="WTI7" s="2206"/>
      <c r="WTJ7" s="2206"/>
      <c r="WTK7" s="2206"/>
      <c r="WTL7" s="2206"/>
      <c r="WTM7" s="2206"/>
      <c r="WTN7" s="2206"/>
      <c r="WTO7" s="2206"/>
      <c r="WTP7" s="2206"/>
      <c r="WTQ7" s="2206"/>
      <c r="WTR7" s="2206"/>
      <c r="WTS7" s="2206"/>
      <c r="WTT7" s="2206"/>
      <c r="WTU7" s="2206"/>
      <c r="WTV7" s="2206"/>
      <c r="WTW7" s="2206"/>
      <c r="WTX7" s="2206"/>
      <c r="WTY7" s="2206"/>
      <c r="WTZ7" s="2206"/>
      <c r="WUA7" s="2206"/>
      <c r="WUB7" s="2206"/>
      <c r="WUC7" s="2206"/>
      <c r="WUD7" s="2206"/>
      <c r="WUE7" s="2206"/>
      <c r="WUF7" s="2206"/>
      <c r="WUG7" s="2206"/>
      <c r="WUH7" s="2206"/>
      <c r="WUI7" s="2206"/>
      <c r="WUJ7" s="2206"/>
      <c r="WUK7" s="2206"/>
      <c r="WUL7" s="2206"/>
      <c r="WUM7" s="2206"/>
      <c r="WUN7" s="2206"/>
      <c r="WUO7" s="2206"/>
      <c r="WUP7" s="2206"/>
      <c r="WUQ7" s="2206"/>
      <c r="WUR7" s="2206"/>
      <c r="WUS7" s="2206"/>
      <c r="WUT7" s="2206"/>
      <c r="WUU7" s="2206"/>
      <c r="WUV7" s="2206"/>
      <c r="WUW7" s="2206"/>
      <c r="WUX7" s="2206"/>
      <c r="WUY7" s="2206"/>
      <c r="WUZ7" s="2206"/>
      <c r="WVA7" s="2206"/>
      <c r="WVB7" s="2206"/>
      <c r="WVC7" s="2206"/>
      <c r="WVD7" s="2206"/>
      <c r="WVE7" s="2206"/>
      <c r="WVF7" s="2206"/>
      <c r="WVG7" s="2206"/>
      <c r="WVH7" s="2206"/>
      <c r="WVI7" s="2206"/>
      <c r="WVJ7" s="2206"/>
      <c r="WVK7" s="2206"/>
      <c r="WVL7" s="2206"/>
      <c r="WVM7" s="2206"/>
      <c r="WVN7" s="2206"/>
      <c r="WVO7" s="2206"/>
      <c r="WVP7" s="2206"/>
      <c r="WVQ7" s="2206"/>
      <c r="WVR7" s="2206"/>
      <c r="WVS7" s="2206"/>
      <c r="WVT7" s="2206"/>
      <c r="WVU7" s="2206"/>
      <c r="WVV7" s="2206"/>
      <c r="WVW7" s="2206"/>
      <c r="WVX7" s="2206"/>
      <c r="WVY7" s="2206"/>
      <c r="WVZ7" s="2206"/>
      <c r="WWA7" s="2206"/>
      <c r="WWB7" s="2206"/>
      <c r="WWC7" s="2206"/>
      <c r="WWD7" s="2206"/>
      <c r="WWE7" s="2206"/>
      <c r="WWF7" s="2206"/>
      <c r="WWG7" s="2206"/>
      <c r="WWH7" s="2206"/>
      <c r="WWI7" s="2206"/>
      <c r="WWJ7" s="2206"/>
      <c r="WWK7" s="2206"/>
      <c r="WWL7" s="2206"/>
      <c r="WWM7" s="2206"/>
      <c r="WWN7" s="2206"/>
      <c r="WWO7" s="2206"/>
      <c r="WWP7" s="2206"/>
      <c r="WWQ7" s="2206"/>
      <c r="WWR7" s="2206"/>
      <c r="WWS7" s="2206"/>
      <c r="WWT7" s="2206"/>
      <c r="WWU7" s="2206"/>
      <c r="WWV7" s="2206"/>
      <c r="WWW7" s="2206"/>
      <c r="WWX7" s="2206"/>
      <c r="WWY7" s="2206"/>
      <c r="WWZ7" s="2206"/>
      <c r="WXA7" s="2206"/>
      <c r="WXB7" s="2206"/>
      <c r="WXC7" s="2206"/>
      <c r="WXD7" s="2206"/>
      <c r="WXE7" s="2206"/>
      <c r="WXF7" s="2206"/>
      <c r="WXG7" s="2206"/>
      <c r="WXH7" s="2206"/>
      <c r="WXI7" s="2206"/>
      <c r="WXJ7" s="2206"/>
      <c r="WXK7" s="2206"/>
      <c r="WXL7" s="2206"/>
      <c r="WXM7" s="2206"/>
      <c r="WXN7" s="2206"/>
      <c r="WXO7" s="2206"/>
      <c r="WXP7" s="2206"/>
      <c r="WXQ7" s="2206"/>
      <c r="WXR7" s="2206"/>
      <c r="WXS7" s="2206"/>
      <c r="WXT7" s="2206"/>
      <c r="WXU7" s="2206"/>
      <c r="WXV7" s="2206"/>
      <c r="WXW7" s="2206"/>
      <c r="WXX7" s="2206"/>
      <c r="WXY7" s="2206"/>
      <c r="WXZ7" s="2206"/>
      <c r="WYA7" s="2206"/>
      <c r="WYB7" s="2206"/>
      <c r="WYC7" s="2206"/>
      <c r="WYD7" s="2206"/>
      <c r="WYE7" s="2206"/>
      <c r="WYF7" s="2206"/>
      <c r="WYG7" s="2206"/>
      <c r="WYH7" s="2206"/>
      <c r="WYI7" s="2206"/>
      <c r="WYJ7" s="2206"/>
      <c r="WYK7" s="2206"/>
      <c r="WYL7" s="2206"/>
      <c r="WYM7" s="2206"/>
      <c r="WYN7" s="2206"/>
      <c r="WYO7" s="2206"/>
      <c r="WYP7" s="2206"/>
      <c r="WYQ7" s="2206"/>
      <c r="WYR7" s="2206"/>
      <c r="WYS7" s="2206"/>
      <c r="WYT7" s="2206"/>
      <c r="WYU7" s="2206"/>
      <c r="WYV7" s="2206"/>
      <c r="WYW7" s="2206"/>
      <c r="WYX7" s="2206"/>
      <c r="WYY7" s="2206"/>
      <c r="WYZ7" s="2206"/>
      <c r="WZA7" s="2206"/>
      <c r="WZB7" s="2206"/>
      <c r="WZC7" s="2206"/>
      <c r="WZD7" s="2206"/>
      <c r="WZE7" s="2206"/>
      <c r="WZF7" s="2206"/>
      <c r="WZG7" s="2206"/>
      <c r="WZH7" s="2206"/>
      <c r="WZI7" s="2206"/>
      <c r="WZJ7" s="2206"/>
      <c r="WZK7" s="2206"/>
      <c r="WZL7" s="2206"/>
      <c r="WZM7" s="2206"/>
      <c r="WZN7" s="2206"/>
      <c r="WZO7" s="2206"/>
      <c r="WZP7" s="2206"/>
      <c r="WZQ7" s="2206"/>
      <c r="WZR7" s="2206"/>
      <c r="WZS7" s="2206"/>
      <c r="WZT7" s="2206"/>
      <c r="WZU7" s="2206"/>
      <c r="WZV7" s="2206"/>
      <c r="WZW7" s="2206"/>
      <c r="WZX7" s="2206"/>
      <c r="WZY7" s="2206"/>
      <c r="WZZ7" s="2206"/>
      <c r="XAA7" s="2206"/>
      <c r="XAB7" s="2206"/>
      <c r="XAC7" s="2206"/>
      <c r="XAD7" s="2206"/>
      <c r="XAE7" s="2206"/>
      <c r="XAF7" s="2206"/>
      <c r="XAG7" s="2206"/>
      <c r="XAH7" s="2206"/>
      <c r="XAI7" s="2206"/>
      <c r="XAJ7" s="2206"/>
      <c r="XAK7" s="2206"/>
      <c r="XAL7" s="2206"/>
      <c r="XAM7" s="2206"/>
      <c r="XAN7" s="2206"/>
      <c r="XAO7" s="2206"/>
      <c r="XAP7" s="2206"/>
      <c r="XAQ7" s="2206"/>
      <c r="XAR7" s="2206"/>
      <c r="XAS7" s="2206"/>
      <c r="XAT7" s="2206"/>
      <c r="XAU7" s="2206"/>
      <c r="XAV7" s="2206"/>
      <c r="XAW7" s="2206"/>
      <c r="XAX7" s="2206"/>
      <c r="XAY7" s="2206"/>
      <c r="XAZ7" s="2206"/>
      <c r="XBA7" s="2206"/>
      <c r="XBB7" s="2206"/>
      <c r="XBC7" s="2206"/>
      <c r="XBD7" s="2206"/>
      <c r="XBE7" s="2206"/>
      <c r="XBF7" s="2206"/>
      <c r="XBG7" s="2206"/>
      <c r="XBH7" s="2206"/>
      <c r="XBI7" s="2206"/>
      <c r="XBJ7" s="2206"/>
      <c r="XBK7" s="2206"/>
      <c r="XBL7" s="2206"/>
      <c r="XBM7" s="2206"/>
      <c r="XBN7" s="2206"/>
      <c r="XBO7" s="2206"/>
      <c r="XBP7" s="2206"/>
      <c r="XBQ7" s="2206"/>
      <c r="XBR7" s="2206"/>
      <c r="XBS7" s="2206"/>
      <c r="XBT7" s="2206"/>
      <c r="XBU7" s="2206"/>
      <c r="XBV7" s="2206"/>
      <c r="XBW7" s="2206"/>
      <c r="XBX7" s="2206"/>
      <c r="XBY7" s="2206"/>
      <c r="XBZ7" s="2206"/>
      <c r="XCA7" s="2206"/>
      <c r="XCB7" s="2206"/>
      <c r="XCC7" s="2206"/>
      <c r="XCD7" s="2206"/>
      <c r="XCE7" s="2206"/>
      <c r="XCF7" s="2206"/>
      <c r="XCG7" s="2206"/>
      <c r="XCH7" s="2206"/>
      <c r="XCI7" s="2206"/>
      <c r="XCJ7" s="2206"/>
      <c r="XCK7" s="2206"/>
      <c r="XCL7" s="2206"/>
      <c r="XCM7" s="2206"/>
      <c r="XCN7" s="2206"/>
      <c r="XCO7" s="2206"/>
      <c r="XCP7" s="2206"/>
      <c r="XCQ7" s="2206"/>
      <c r="XCR7" s="2206"/>
      <c r="XCS7" s="2206"/>
      <c r="XCT7" s="2206"/>
      <c r="XCU7" s="2206"/>
      <c r="XCV7" s="2206"/>
      <c r="XCW7" s="2206"/>
      <c r="XCX7" s="2206"/>
      <c r="XCY7" s="2206"/>
      <c r="XCZ7" s="2206"/>
      <c r="XDA7" s="2206"/>
      <c r="XDB7" s="2206"/>
      <c r="XDC7" s="2206"/>
      <c r="XDD7" s="2206"/>
      <c r="XDE7" s="2206"/>
      <c r="XDF7" s="2206"/>
      <c r="XDG7" s="2206"/>
      <c r="XDH7" s="2206"/>
      <c r="XDI7" s="2206"/>
      <c r="XDJ7" s="2206"/>
      <c r="XDK7" s="2206"/>
      <c r="XDL7" s="2206"/>
      <c r="XDM7" s="2206"/>
      <c r="XDN7" s="2206"/>
      <c r="XDO7" s="2206"/>
      <c r="XDP7" s="2206"/>
      <c r="XDQ7" s="2206"/>
      <c r="XDR7" s="2206"/>
      <c r="XDS7" s="2206"/>
      <c r="XDT7" s="2206"/>
      <c r="XDU7" s="2206"/>
      <c r="XDV7" s="2206"/>
      <c r="XDW7" s="2206"/>
      <c r="XDX7" s="2206"/>
      <c r="XDY7" s="2206"/>
      <c r="XDZ7" s="2206"/>
      <c r="XEA7" s="2206"/>
      <c r="XEB7" s="2206"/>
      <c r="XEC7" s="2206"/>
      <c r="XED7" s="2206"/>
      <c r="XEE7" s="2206"/>
      <c r="XEF7" s="2206"/>
      <c r="XEG7" s="2206"/>
      <c r="XEH7" s="2206"/>
      <c r="XEI7" s="2206"/>
      <c r="XEJ7" s="2206"/>
      <c r="XEK7" s="2206"/>
      <c r="XEL7" s="2206"/>
      <c r="XEM7" s="2206"/>
      <c r="XEN7" s="2206"/>
      <c r="XEO7" s="2206"/>
      <c r="XEP7" s="2206"/>
      <c r="XEQ7" s="2206"/>
      <c r="XER7" s="2206"/>
      <c r="XES7" s="2206"/>
      <c r="XET7" s="2206"/>
      <c r="XEU7" s="2206"/>
      <c r="XEV7" s="2206"/>
      <c r="XEW7" s="2206"/>
      <c r="XEX7" s="2206"/>
      <c r="XEY7" s="2206"/>
      <c r="XEZ7" s="2206"/>
      <c r="XFA7" s="2206"/>
      <c r="XFB7" s="2206"/>
      <c r="XFC7" s="2206"/>
      <c r="XFD7" s="2206"/>
    </row>
    <row r="8" spans="1:16384" hidden="1">
      <c r="A8" s="232" t="s">
        <v>60</v>
      </c>
    </row>
    <row r="9" spans="1:16384"/>
    <row r="10" spans="1:16384" ht="39.6">
      <c r="A10" s="265" t="s">
        <v>61</v>
      </c>
      <c r="B10" s="265" t="s">
        <v>1097</v>
      </c>
      <c r="C10" s="265" t="s">
        <v>62</v>
      </c>
      <c r="D10" s="265" t="s">
        <v>63</v>
      </c>
      <c r="E10" s="265" t="s">
        <v>64</v>
      </c>
      <c r="F10" s="265" t="s">
        <v>65</v>
      </c>
      <c r="G10" s="265" t="s">
        <v>66</v>
      </c>
      <c r="H10" s="265" t="s">
        <v>2567</v>
      </c>
      <c r="I10" s="265" t="s">
        <v>1111</v>
      </c>
      <c r="J10" s="267" t="s">
        <v>266</v>
      </c>
      <c r="K10" s="267" t="s">
        <v>374</v>
      </c>
    </row>
    <row r="11" spans="1:16384">
      <c r="A11" s="266">
        <v>1</v>
      </c>
      <c r="B11" s="412"/>
      <c r="C11" s="292"/>
      <c r="D11" s="293"/>
      <c r="E11" s="294"/>
      <c r="F11" s="295"/>
      <c r="G11" s="292"/>
      <c r="H11" s="292"/>
      <c r="I11" s="292"/>
      <c r="J11" s="37" t="e">
        <f>' 1A.Prop&amp;Residents'!A7</f>
        <v>#N/A</v>
      </c>
      <c r="K11" s="37" t="str">
        <f>' 1A.Prop&amp;Residents'!B$7</f>
        <v/>
      </c>
    </row>
    <row r="12" spans="1:16384">
      <c r="A12" s="266">
        <v>2</v>
      </c>
      <c r="B12" s="412"/>
      <c r="C12" s="292"/>
      <c r="D12" s="293"/>
      <c r="E12" s="294"/>
      <c r="F12" s="295"/>
      <c r="G12" s="292"/>
      <c r="H12" s="292"/>
      <c r="I12" s="292"/>
      <c r="J12" s="37" t="e">
        <f>' 1A.Prop&amp;Residents'!A7</f>
        <v>#N/A</v>
      </c>
      <c r="K12" s="37" t="str">
        <f>' 1A.Prop&amp;Residents'!B$7</f>
        <v/>
      </c>
    </row>
    <row r="13" spans="1:16384">
      <c r="A13" s="266">
        <v>3</v>
      </c>
      <c r="B13" s="296"/>
      <c r="C13" s="292"/>
      <c r="D13" s="293"/>
      <c r="E13" s="294"/>
      <c r="F13" s="295"/>
      <c r="G13" s="292"/>
      <c r="H13" s="292"/>
      <c r="I13" s="292"/>
      <c r="J13" s="37" t="e">
        <f>' 1A.Prop&amp;Residents'!A7</f>
        <v>#N/A</v>
      </c>
      <c r="K13" s="37" t="str">
        <f>' 1A.Prop&amp;Residents'!B$7</f>
        <v/>
      </c>
    </row>
    <row r="14" spans="1:16384">
      <c r="A14" s="266">
        <v>4</v>
      </c>
      <c r="B14" s="291"/>
      <c r="C14" s="292"/>
      <c r="D14" s="293"/>
      <c r="E14" s="294"/>
      <c r="F14" s="295"/>
      <c r="G14" s="292"/>
      <c r="H14" s="292"/>
      <c r="I14" s="292"/>
      <c r="J14" s="37" t="e">
        <f>' 1A.Prop&amp;Residents'!A7</f>
        <v>#N/A</v>
      </c>
      <c r="K14" s="37" t="str">
        <f>' 1A.Prop&amp;Residents'!B$7</f>
        <v/>
      </c>
    </row>
    <row r="15" spans="1:16384">
      <c r="A15" s="266">
        <v>5</v>
      </c>
      <c r="B15" s="291"/>
      <c r="C15" s="292"/>
      <c r="D15" s="293"/>
      <c r="E15" s="294"/>
      <c r="F15" s="295"/>
      <c r="G15" s="292"/>
      <c r="H15" s="292"/>
      <c r="I15" s="292"/>
      <c r="J15" s="37" t="e">
        <f>' 1A.Prop&amp;Residents'!A7</f>
        <v>#N/A</v>
      </c>
      <c r="K15" s="37" t="str">
        <f>' 1A.Prop&amp;Residents'!B$7</f>
        <v/>
      </c>
    </row>
    <row r="16" spans="1:16384">
      <c r="A16" s="266">
        <v>6</v>
      </c>
      <c r="B16" s="291"/>
      <c r="C16" s="292"/>
      <c r="D16" s="293"/>
      <c r="E16" s="294"/>
      <c r="F16" s="295"/>
      <c r="G16" s="292"/>
      <c r="H16" s="292"/>
      <c r="I16" s="292"/>
      <c r="J16" s="37" t="e">
        <f>' 1A.Prop&amp;Residents'!A7</f>
        <v>#N/A</v>
      </c>
      <c r="K16" s="37" t="str">
        <f>' 1A.Prop&amp;Residents'!B$7</f>
        <v/>
      </c>
    </row>
    <row r="17" spans="1:11">
      <c r="A17" s="266">
        <v>7</v>
      </c>
      <c r="B17" s="291"/>
      <c r="C17" s="292"/>
      <c r="D17" s="293"/>
      <c r="E17" s="294"/>
      <c r="F17" s="295"/>
      <c r="G17" s="292"/>
      <c r="H17" s="292"/>
      <c r="I17" s="292"/>
      <c r="J17" s="37" t="e">
        <f>' 1A.Prop&amp;Residents'!A7</f>
        <v>#N/A</v>
      </c>
      <c r="K17" s="37" t="str">
        <f>' 1A.Prop&amp;Residents'!B$7</f>
        <v/>
      </c>
    </row>
    <row r="18" spans="1:11">
      <c r="A18" s="266">
        <v>8</v>
      </c>
      <c r="B18" s="291"/>
      <c r="C18" s="292"/>
      <c r="D18" s="293"/>
      <c r="E18" s="294"/>
      <c r="F18" s="295"/>
      <c r="G18" s="292"/>
      <c r="H18" s="292"/>
      <c r="I18" s="292"/>
      <c r="J18" s="37" t="e">
        <f>' 1A.Prop&amp;Residents'!A7</f>
        <v>#N/A</v>
      </c>
      <c r="K18" s="37" t="str">
        <f>' 1A.Prop&amp;Residents'!B$7</f>
        <v/>
      </c>
    </row>
    <row r="19" spans="1:11">
      <c r="A19" s="266">
        <v>9</v>
      </c>
      <c r="B19" s="291"/>
      <c r="C19" s="292"/>
      <c r="D19" s="293"/>
      <c r="E19" s="294"/>
      <c r="F19" s="295"/>
      <c r="G19" s="292"/>
      <c r="H19" s="292"/>
      <c r="I19" s="292"/>
      <c r="J19" s="37" t="e">
        <f>' 1A.Prop&amp;Residents'!A7</f>
        <v>#N/A</v>
      </c>
      <c r="K19" s="37" t="str">
        <f>' 1A.Prop&amp;Residents'!B$7</f>
        <v/>
      </c>
    </row>
    <row r="20" spans="1:11">
      <c r="A20" s="266">
        <v>10</v>
      </c>
      <c r="B20" s="291"/>
      <c r="C20" s="292"/>
      <c r="D20" s="293"/>
      <c r="E20" s="294"/>
      <c r="F20" s="295"/>
      <c r="G20" s="292"/>
      <c r="H20" s="292"/>
      <c r="I20" s="292"/>
      <c r="J20" s="37" t="e">
        <f>' 1A.Prop&amp;Residents'!A7</f>
        <v>#N/A</v>
      </c>
      <c r="K20" s="37" t="str">
        <f>' 1A.Prop&amp;Residents'!B$7</f>
        <v/>
      </c>
    </row>
    <row r="21" spans="1:11" hidden="1"/>
    <row r="22" spans="1:11" hidden="1">
      <c r="B22" s="410">
        <f>COUNTIF(B11:B20, "*cdbg*")</f>
        <v>0</v>
      </c>
      <c r="C22" s="2201" t="s">
        <v>454</v>
      </c>
    </row>
    <row r="23" spans="1:11" hidden="1">
      <c r="B23" s="410">
        <f>COUNTIF(B11:B20, "*community development block grant*")</f>
        <v>0</v>
      </c>
      <c r="C23" s="2201"/>
    </row>
    <row r="24" spans="1:11" hidden="1">
      <c r="B24" s="411">
        <f>SUM(B22:B23)</f>
        <v>0</v>
      </c>
      <c r="C24" s="2201"/>
    </row>
    <row r="25" spans="1:11" hidden="1"/>
    <row r="26" spans="1:11" hidden="1">
      <c r="A26" t="s">
        <v>1059</v>
      </c>
    </row>
    <row r="27" spans="1:11" ht="26.4" hidden="1">
      <c r="A27" s="163" t="str">
        <f>'4.Narrative'!B150</f>
        <v>ReportingYear</v>
      </c>
      <c r="B27" s="160" t="str">
        <f>'4.Narrative'!C150</f>
        <v>ProjKey</v>
      </c>
      <c r="C27" s="160" t="str">
        <f>'4.Narrative'!D150</f>
        <v>MiscExpType</v>
      </c>
      <c r="D27" s="160" t="str">
        <f>'4.Narrative'!E150</f>
        <v>Expense Description</v>
      </c>
      <c r="E27" s="160" t="str">
        <f>'4.Narrative'!I150</f>
        <v>Amount</v>
      </c>
      <c r="F27" s="160" t="str">
        <f>'4.Narrative'!K150</f>
        <v>HUD Acct #</v>
      </c>
      <c r="G27" s="160" t="str">
        <f>'4.Narrative'!M150</f>
        <v>Notes</v>
      </c>
    </row>
    <row r="28" spans="1:11" hidden="1">
      <c r="A28" s="160" t="str">
        <f>'4.Narrative'!B151</f>
        <v/>
      </c>
      <c r="B28" s="160" t="e">
        <f>'4.Narrative'!C151</f>
        <v>#N/A</v>
      </c>
      <c r="C28" s="160" t="str">
        <f>'4.Narrative'!D151</f>
        <v>Admin</v>
      </c>
      <c r="D28" s="160">
        <f>'4.Narrative'!E151</f>
        <v>0</v>
      </c>
      <c r="E28" s="767">
        <f>'4.Narrative'!I151</f>
        <v>0</v>
      </c>
      <c r="F28" s="160">
        <f>'4.Narrative'!K151</f>
        <v>0</v>
      </c>
      <c r="G28" s="160">
        <f>'4.Narrative'!M151</f>
        <v>0</v>
      </c>
    </row>
    <row r="29" spans="1:11" hidden="1">
      <c r="A29" s="160" t="str">
        <f>'4.Narrative'!B152</f>
        <v/>
      </c>
      <c r="B29" s="160" t="e">
        <f>'4.Narrative'!C152</f>
        <v>#N/A</v>
      </c>
      <c r="C29" s="160" t="str">
        <f>'4.Narrative'!D152</f>
        <v>Admin</v>
      </c>
      <c r="D29" s="160">
        <f>'4.Narrative'!E152</f>
        <v>0</v>
      </c>
      <c r="E29" s="767">
        <f>'4.Narrative'!I152</f>
        <v>0</v>
      </c>
      <c r="F29" s="160">
        <f>'4.Narrative'!K152</f>
        <v>0</v>
      </c>
      <c r="G29" s="160">
        <f>'4.Narrative'!M152</f>
        <v>0</v>
      </c>
    </row>
    <row r="30" spans="1:11" hidden="1">
      <c r="A30" s="160" t="str">
        <f>'4.Narrative'!B153</f>
        <v/>
      </c>
      <c r="B30" s="160" t="e">
        <f>'4.Narrative'!C153</f>
        <v>#N/A</v>
      </c>
      <c r="C30" s="160" t="str">
        <f>'4.Narrative'!D153</f>
        <v>Admin</v>
      </c>
      <c r="D30" s="160">
        <f>'4.Narrative'!E153</f>
        <v>0</v>
      </c>
      <c r="E30" s="767">
        <f>'4.Narrative'!I153</f>
        <v>0</v>
      </c>
      <c r="F30" s="160">
        <f>'4.Narrative'!K153</f>
        <v>0</v>
      </c>
      <c r="G30" s="160">
        <f>'4.Narrative'!M153</f>
        <v>0</v>
      </c>
    </row>
    <row r="31" spans="1:11" hidden="1">
      <c r="A31" s="160" t="str">
        <f>'4.Narrative'!B154</f>
        <v/>
      </c>
      <c r="B31" s="160" t="e">
        <f>'4.Narrative'!C154</f>
        <v>#N/A</v>
      </c>
      <c r="C31" s="160" t="str">
        <f>'4.Narrative'!D154</f>
        <v>Admin</v>
      </c>
      <c r="D31" s="160">
        <f>'4.Narrative'!E154</f>
        <v>0</v>
      </c>
      <c r="E31" s="767">
        <f>'4.Narrative'!I154</f>
        <v>0</v>
      </c>
      <c r="F31" s="160">
        <f>'4.Narrative'!K154</f>
        <v>0</v>
      </c>
      <c r="G31" s="160">
        <f>'4.Narrative'!M154</f>
        <v>0</v>
      </c>
    </row>
    <row r="32" spans="1:11" hidden="1">
      <c r="A32" s="160" t="str">
        <f>'4.Narrative'!B155</f>
        <v/>
      </c>
      <c r="B32" s="160" t="e">
        <f>'4.Narrative'!C155</f>
        <v>#N/A</v>
      </c>
      <c r="C32" s="160" t="str">
        <f>'4.Narrative'!D155</f>
        <v>Admin</v>
      </c>
      <c r="D32" s="160">
        <f>'4.Narrative'!E155</f>
        <v>0</v>
      </c>
      <c r="E32" s="767">
        <f>'4.Narrative'!I155</f>
        <v>0</v>
      </c>
      <c r="F32" s="160">
        <f>'4.Narrative'!K155</f>
        <v>0</v>
      </c>
      <c r="G32" s="160">
        <f>'4.Narrative'!M155</f>
        <v>0</v>
      </c>
    </row>
    <row r="33" spans="1:7" hidden="1">
      <c r="A33" s="160" t="str">
        <f>'4.Narrative'!B156</f>
        <v/>
      </c>
      <c r="B33" s="160" t="e">
        <f>'4.Narrative'!C156</f>
        <v>#N/A</v>
      </c>
      <c r="C33" s="160" t="str">
        <f>'4.Narrative'!D156</f>
        <v>Admin</v>
      </c>
      <c r="D33" s="160">
        <f>'4.Narrative'!E156</f>
        <v>0</v>
      </c>
      <c r="E33" s="767">
        <f>'4.Narrative'!I156</f>
        <v>0</v>
      </c>
      <c r="F33" s="160">
        <f>'4.Narrative'!K156</f>
        <v>0</v>
      </c>
      <c r="G33" s="160">
        <f>'4.Narrative'!M156</f>
        <v>0</v>
      </c>
    </row>
    <row r="34" spans="1:7" hidden="1">
      <c r="A34" s="160" t="str">
        <f>'4.Narrative'!B157</f>
        <v/>
      </c>
      <c r="B34" s="160" t="e">
        <f>'4.Narrative'!C157</f>
        <v>#N/A</v>
      </c>
      <c r="C34" s="160" t="str">
        <f>'4.Narrative'!D157</f>
        <v>Admin</v>
      </c>
      <c r="D34" s="160">
        <f>'4.Narrative'!E157</f>
        <v>0</v>
      </c>
      <c r="E34" s="767">
        <f>'4.Narrative'!I157</f>
        <v>0</v>
      </c>
      <c r="F34" s="160">
        <f>'4.Narrative'!K157</f>
        <v>0</v>
      </c>
      <c r="G34" s="160">
        <f>'4.Narrative'!M157</f>
        <v>0</v>
      </c>
    </row>
    <row r="35" spans="1:7" hidden="1">
      <c r="A35" s="160" t="str">
        <f>'4.Narrative'!B163</f>
        <v/>
      </c>
      <c r="B35" s="160" t="e">
        <f>'4.Narrative'!C163</f>
        <v>#N/A</v>
      </c>
      <c r="C35" s="160" t="str">
        <f>'4.Narrative'!D163</f>
        <v>Op &amp; Maint</v>
      </c>
      <c r="D35" s="160">
        <f>'4.Narrative'!E163</f>
        <v>0</v>
      </c>
      <c r="E35" s="767">
        <f>'4.Narrative'!I163</f>
        <v>0</v>
      </c>
      <c r="F35" s="160">
        <f>'4.Narrative'!K163</f>
        <v>0</v>
      </c>
      <c r="G35" s="160">
        <f>'4.Narrative'!M163</f>
        <v>0</v>
      </c>
    </row>
    <row r="36" spans="1:7" hidden="1">
      <c r="A36" s="160" t="str">
        <f>'4.Narrative'!B164</f>
        <v/>
      </c>
      <c r="B36" s="160" t="e">
        <f>'4.Narrative'!C164</f>
        <v>#N/A</v>
      </c>
      <c r="C36" s="160" t="str">
        <f>'4.Narrative'!D164</f>
        <v>Op &amp; Maint</v>
      </c>
      <c r="D36" s="160">
        <f>'4.Narrative'!E164</f>
        <v>0</v>
      </c>
      <c r="E36" s="767">
        <f>'4.Narrative'!I164</f>
        <v>0</v>
      </c>
      <c r="F36" s="160">
        <f>'4.Narrative'!K164</f>
        <v>0</v>
      </c>
      <c r="G36" s="160">
        <f>'4.Narrative'!M164</f>
        <v>0</v>
      </c>
    </row>
    <row r="37" spans="1:7" hidden="1">
      <c r="A37" s="160" t="str">
        <f>'4.Narrative'!B165</f>
        <v/>
      </c>
      <c r="B37" s="160" t="e">
        <f>'4.Narrative'!C165</f>
        <v>#N/A</v>
      </c>
      <c r="C37" s="160" t="str">
        <f>'4.Narrative'!D165</f>
        <v>Op &amp; Maint</v>
      </c>
      <c r="D37" s="160">
        <f>'4.Narrative'!E165</f>
        <v>0</v>
      </c>
      <c r="E37" s="767">
        <f>'4.Narrative'!I165</f>
        <v>0</v>
      </c>
      <c r="F37" s="160">
        <f>'4.Narrative'!K165</f>
        <v>0</v>
      </c>
      <c r="G37" s="160">
        <f>'4.Narrative'!M165</f>
        <v>0</v>
      </c>
    </row>
    <row r="38" spans="1:7" hidden="1">
      <c r="A38" s="160" t="str">
        <f>'4.Narrative'!B166</f>
        <v/>
      </c>
      <c r="B38" s="160" t="e">
        <f>'4.Narrative'!C166</f>
        <v>#N/A</v>
      </c>
      <c r="C38" s="160" t="str">
        <f>'4.Narrative'!D166</f>
        <v>Op &amp; Maint</v>
      </c>
      <c r="D38" s="160">
        <f>'4.Narrative'!E166</f>
        <v>0</v>
      </c>
      <c r="E38" s="767">
        <f>'4.Narrative'!I166</f>
        <v>0</v>
      </c>
      <c r="F38" s="160">
        <f>'4.Narrative'!K166</f>
        <v>0</v>
      </c>
      <c r="G38" s="160">
        <f>'4.Narrative'!M166</f>
        <v>0</v>
      </c>
    </row>
    <row r="39" spans="1:7" hidden="1">
      <c r="A39" s="160" t="str">
        <f>'4.Narrative'!B167</f>
        <v/>
      </c>
      <c r="B39" s="160" t="e">
        <f>'4.Narrative'!C167</f>
        <v>#N/A</v>
      </c>
      <c r="C39" s="160" t="str">
        <f>'4.Narrative'!D167</f>
        <v>Op &amp; Maint</v>
      </c>
      <c r="D39" s="160">
        <f>'4.Narrative'!E167</f>
        <v>0</v>
      </c>
      <c r="E39" s="767">
        <f>'4.Narrative'!I167</f>
        <v>0</v>
      </c>
      <c r="F39" s="160">
        <f>'4.Narrative'!K167</f>
        <v>0</v>
      </c>
      <c r="G39" s="160">
        <f>'4.Narrative'!M167</f>
        <v>0</v>
      </c>
    </row>
    <row r="40" spans="1:7" hidden="1">
      <c r="A40" s="160" t="str">
        <f>'4.Narrative'!B168</f>
        <v/>
      </c>
      <c r="B40" s="160" t="e">
        <f>'4.Narrative'!C168</f>
        <v>#N/A</v>
      </c>
      <c r="C40" s="160" t="str">
        <f>'4.Narrative'!D168</f>
        <v>Op &amp; Maint</v>
      </c>
      <c r="D40" s="160">
        <f>'4.Narrative'!E168</f>
        <v>0</v>
      </c>
      <c r="E40" s="767">
        <f>'4.Narrative'!I168</f>
        <v>0</v>
      </c>
      <c r="F40" s="160">
        <f>'4.Narrative'!K168</f>
        <v>0</v>
      </c>
      <c r="G40" s="160">
        <f>'4.Narrative'!M168</f>
        <v>0</v>
      </c>
    </row>
    <row r="41" spans="1:7" hidden="1">
      <c r="A41" s="160" t="str">
        <f>'4.Narrative'!B169</f>
        <v/>
      </c>
      <c r="B41" s="160" t="e">
        <f>'4.Narrative'!C169</f>
        <v>#N/A</v>
      </c>
      <c r="C41" s="160" t="str">
        <f>'4.Narrative'!D169</f>
        <v>Op &amp; Maint</v>
      </c>
      <c r="D41" s="160">
        <f>'4.Narrative'!E169</f>
        <v>0</v>
      </c>
      <c r="E41" s="767">
        <f>'4.Narrative'!I169</f>
        <v>0</v>
      </c>
      <c r="F41" s="160">
        <f>'4.Narrative'!K169</f>
        <v>0</v>
      </c>
      <c r="G41" s="160">
        <f>'4.Narrative'!M169</f>
        <v>0</v>
      </c>
    </row>
    <row r="42" spans="1:7"/>
  </sheetData>
  <sheetProtection algorithmName="SHA-512" hashValue="sexGuDJK1uomjAb7Xu6euBPOVt2fNRIEYWhWvz4CNAWixxz7VAhfUgir2f4wNwPbf+nKPRt8AdSqN3b9II04sQ==" saltValue="lVAhcr2GjzzZJBARbrSE7A==" spinCount="100000" sheet="1" objects="1" scenarios="1" selectLockedCells="1"/>
  <customSheetViews>
    <customSheetView guid="{BE27EBD8-ED47-4D05-A191-2893A8781B62}" fitToPage="1" hiddenRows="1" hiddenColumns="1" topLeftCell="A2">
      <selection sqref="A1:I1"/>
      <pageMargins left="0.7" right="0.7" top="0.75" bottom="0.75" header="0.3" footer="0.3"/>
      <pageSetup scale="59" orientation="landscape" r:id="rId1"/>
    </customSheetView>
  </customSheetViews>
  <mergeCells count="5461">
    <mergeCell ref="XEV7:XEX7"/>
    <mergeCell ref="XEY7:XFA7"/>
    <mergeCell ref="XFB7:XFD7"/>
    <mergeCell ref="XEG7:XEI7"/>
    <mergeCell ref="XEJ7:XEL7"/>
    <mergeCell ref="XEM7:XEO7"/>
    <mergeCell ref="XEP7:XER7"/>
    <mergeCell ref="XES7:XEU7"/>
    <mergeCell ref="XDR7:XDT7"/>
    <mergeCell ref="XDU7:XDW7"/>
    <mergeCell ref="XDX7:XDZ7"/>
    <mergeCell ref="XEA7:XEC7"/>
    <mergeCell ref="XED7:XEF7"/>
    <mergeCell ref="XDC7:XDE7"/>
    <mergeCell ref="XDF7:XDH7"/>
    <mergeCell ref="XDI7:XDK7"/>
    <mergeCell ref="XDL7:XDN7"/>
    <mergeCell ref="XDO7:XDQ7"/>
    <mergeCell ref="XCN7:XCP7"/>
    <mergeCell ref="XCQ7:XCS7"/>
    <mergeCell ref="XCT7:XCV7"/>
    <mergeCell ref="XCW7:XCY7"/>
    <mergeCell ref="XCZ7:XDB7"/>
    <mergeCell ref="XBY7:XCA7"/>
    <mergeCell ref="XCB7:XCD7"/>
    <mergeCell ref="XCE7:XCG7"/>
    <mergeCell ref="XCH7:XCJ7"/>
    <mergeCell ref="XCK7:XCM7"/>
    <mergeCell ref="XBJ7:XBL7"/>
    <mergeCell ref="XBM7:XBO7"/>
    <mergeCell ref="XBP7:XBR7"/>
    <mergeCell ref="XBS7:XBU7"/>
    <mergeCell ref="XBV7:XBX7"/>
    <mergeCell ref="XAU7:XAW7"/>
    <mergeCell ref="XAX7:XAZ7"/>
    <mergeCell ref="XBA7:XBC7"/>
    <mergeCell ref="XBD7:XBF7"/>
    <mergeCell ref="XBG7:XBI7"/>
    <mergeCell ref="XAF7:XAH7"/>
    <mergeCell ref="XAI7:XAK7"/>
    <mergeCell ref="XAL7:XAN7"/>
    <mergeCell ref="XAO7:XAQ7"/>
    <mergeCell ref="XAR7:XAT7"/>
    <mergeCell ref="WZQ7:WZS7"/>
    <mergeCell ref="WZT7:WZV7"/>
    <mergeCell ref="WZW7:WZY7"/>
    <mergeCell ref="WZZ7:XAB7"/>
    <mergeCell ref="XAC7:XAE7"/>
    <mergeCell ref="WZB7:WZD7"/>
    <mergeCell ref="WZE7:WZG7"/>
    <mergeCell ref="WZH7:WZJ7"/>
    <mergeCell ref="WZK7:WZM7"/>
    <mergeCell ref="WZN7:WZP7"/>
    <mergeCell ref="WYM7:WYO7"/>
    <mergeCell ref="WYP7:WYR7"/>
    <mergeCell ref="WYS7:WYU7"/>
    <mergeCell ref="WYV7:WYX7"/>
    <mergeCell ref="WYY7:WZA7"/>
    <mergeCell ref="WXX7:WXZ7"/>
    <mergeCell ref="WYA7:WYC7"/>
    <mergeCell ref="WYD7:WYF7"/>
    <mergeCell ref="WYG7:WYI7"/>
    <mergeCell ref="WYJ7:WYL7"/>
    <mergeCell ref="WXI7:WXK7"/>
    <mergeCell ref="WXL7:WXN7"/>
    <mergeCell ref="WXO7:WXQ7"/>
    <mergeCell ref="WXR7:WXT7"/>
    <mergeCell ref="WXU7:WXW7"/>
    <mergeCell ref="WWT7:WWV7"/>
    <mergeCell ref="WWW7:WWY7"/>
    <mergeCell ref="WWZ7:WXB7"/>
    <mergeCell ref="WXC7:WXE7"/>
    <mergeCell ref="WXF7:WXH7"/>
    <mergeCell ref="WWE7:WWG7"/>
    <mergeCell ref="WWH7:WWJ7"/>
    <mergeCell ref="WWK7:WWM7"/>
    <mergeCell ref="WWN7:WWP7"/>
    <mergeCell ref="WWQ7:WWS7"/>
    <mergeCell ref="WVP7:WVR7"/>
    <mergeCell ref="WVS7:WVU7"/>
    <mergeCell ref="WVV7:WVX7"/>
    <mergeCell ref="WVY7:WWA7"/>
    <mergeCell ref="WWB7:WWD7"/>
    <mergeCell ref="WVA7:WVC7"/>
    <mergeCell ref="WVD7:WVF7"/>
    <mergeCell ref="WVG7:WVI7"/>
    <mergeCell ref="WVJ7:WVL7"/>
    <mergeCell ref="WVM7:WVO7"/>
    <mergeCell ref="WUL7:WUN7"/>
    <mergeCell ref="WUO7:WUQ7"/>
    <mergeCell ref="WUR7:WUT7"/>
    <mergeCell ref="WUU7:WUW7"/>
    <mergeCell ref="WUX7:WUZ7"/>
    <mergeCell ref="WTW7:WTY7"/>
    <mergeCell ref="WTZ7:WUB7"/>
    <mergeCell ref="WUC7:WUE7"/>
    <mergeCell ref="WUF7:WUH7"/>
    <mergeCell ref="WUI7:WUK7"/>
    <mergeCell ref="WTH7:WTJ7"/>
    <mergeCell ref="WTK7:WTM7"/>
    <mergeCell ref="WTN7:WTP7"/>
    <mergeCell ref="WTQ7:WTS7"/>
    <mergeCell ref="WTT7:WTV7"/>
    <mergeCell ref="WSS7:WSU7"/>
    <mergeCell ref="WSV7:WSX7"/>
    <mergeCell ref="WSY7:WTA7"/>
    <mergeCell ref="WTB7:WTD7"/>
    <mergeCell ref="WTE7:WTG7"/>
    <mergeCell ref="WSD7:WSF7"/>
    <mergeCell ref="WSG7:WSI7"/>
    <mergeCell ref="WSJ7:WSL7"/>
    <mergeCell ref="WSM7:WSO7"/>
    <mergeCell ref="WSP7:WSR7"/>
    <mergeCell ref="WRO7:WRQ7"/>
    <mergeCell ref="WRR7:WRT7"/>
    <mergeCell ref="WRU7:WRW7"/>
    <mergeCell ref="WRX7:WRZ7"/>
    <mergeCell ref="WSA7:WSC7"/>
    <mergeCell ref="WQZ7:WRB7"/>
    <mergeCell ref="WRC7:WRE7"/>
    <mergeCell ref="WRF7:WRH7"/>
    <mergeCell ref="WRI7:WRK7"/>
    <mergeCell ref="WRL7:WRN7"/>
    <mergeCell ref="WQK7:WQM7"/>
    <mergeCell ref="WQN7:WQP7"/>
    <mergeCell ref="WQQ7:WQS7"/>
    <mergeCell ref="WQT7:WQV7"/>
    <mergeCell ref="WQW7:WQY7"/>
    <mergeCell ref="WPV7:WPX7"/>
    <mergeCell ref="WPY7:WQA7"/>
    <mergeCell ref="WQB7:WQD7"/>
    <mergeCell ref="WQE7:WQG7"/>
    <mergeCell ref="WQH7:WQJ7"/>
    <mergeCell ref="WPG7:WPI7"/>
    <mergeCell ref="WPJ7:WPL7"/>
    <mergeCell ref="WPM7:WPO7"/>
    <mergeCell ref="WPP7:WPR7"/>
    <mergeCell ref="WPS7:WPU7"/>
    <mergeCell ref="WOR7:WOT7"/>
    <mergeCell ref="WOU7:WOW7"/>
    <mergeCell ref="WOX7:WOZ7"/>
    <mergeCell ref="WPA7:WPC7"/>
    <mergeCell ref="WPD7:WPF7"/>
    <mergeCell ref="WOC7:WOE7"/>
    <mergeCell ref="WOF7:WOH7"/>
    <mergeCell ref="WOI7:WOK7"/>
    <mergeCell ref="WOL7:WON7"/>
    <mergeCell ref="WOO7:WOQ7"/>
    <mergeCell ref="WNN7:WNP7"/>
    <mergeCell ref="WNQ7:WNS7"/>
    <mergeCell ref="WNT7:WNV7"/>
    <mergeCell ref="WNW7:WNY7"/>
    <mergeCell ref="WNZ7:WOB7"/>
    <mergeCell ref="WMY7:WNA7"/>
    <mergeCell ref="WNB7:WND7"/>
    <mergeCell ref="WNE7:WNG7"/>
    <mergeCell ref="WNH7:WNJ7"/>
    <mergeCell ref="WNK7:WNM7"/>
    <mergeCell ref="WMJ7:WML7"/>
    <mergeCell ref="WMM7:WMO7"/>
    <mergeCell ref="WMP7:WMR7"/>
    <mergeCell ref="WMS7:WMU7"/>
    <mergeCell ref="WMV7:WMX7"/>
    <mergeCell ref="WLU7:WLW7"/>
    <mergeCell ref="WLX7:WLZ7"/>
    <mergeCell ref="WMA7:WMC7"/>
    <mergeCell ref="WMD7:WMF7"/>
    <mergeCell ref="WMG7:WMI7"/>
    <mergeCell ref="WLF7:WLH7"/>
    <mergeCell ref="WLI7:WLK7"/>
    <mergeCell ref="WLL7:WLN7"/>
    <mergeCell ref="WLO7:WLQ7"/>
    <mergeCell ref="WLR7:WLT7"/>
    <mergeCell ref="WKQ7:WKS7"/>
    <mergeCell ref="WKT7:WKV7"/>
    <mergeCell ref="WKW7:WKY7"/>
    <mergeCell ref="WKZ7:WLB7"/>
    <mergeCell ref="WLC7:WLE7"/>
    <mergeCell ref="WKB7:WKD7"/>
    <mergeCell ref="WKE7:WKG7"/>
    <mergeCell ref="WKH7:WKJ7"/>
    <mergeCell ref="WKK7:WKM7"/>
    <mergeCell ref="WKN7:WKP7"/>
    <mergeCell ref="WJM7:WJO7"/>
    <mergeCell ref="WJP7:WJR7"/>
    <mergeCell ref="WJS7:WJU7"/>
    <mergeCell ref="WJV7:WJX7"/>
    <mergeCell ref="WJY7:WKA7"/>
    <mergeCell ref="WIX7:WIZ7"/>
    <mergeCell ref="WJA7:WJC7"/>
    <mergeCell ref="WJD7:WJF7"/>
    <mergeCell ref="WJG7:WJI7"/>
    <mergeCell ref="WJJ7:WJL7"/>
    <mergeCell ref="WII7:WIK7"/>
    <mergeCell ref="WIL7:WIN7"/>
    <mergeCell ref="WIO7:WIQ7"/>
    <mergeCell ref="WIR7:WIT7"/>
    <mergeCell ref="WIU7:WIW7"/>
    <mergeCell ref="WHT7:WHV7"/>
    <mergeCell ref="WHW7:WHY7"/>
    <mergeCell ref="WHZ7:WIB7"/>
    <mergeCell ref="WIC7:WIE7"/>
    <mergeCell ref="WIF7:WIH7"/>
    <mergeCell ref="WHE7:WHG7"/>
    <mergeCell ref="WHH7:WHJ7"/>
    <mergeCell ref="WHK7:WHM7"/>
    <mergeCell ref="WHN7:WHP7"/>
    <mergeCell ref="WHQ7:WHS7"/>
    <mergeCell ref="WGP7:WGR7"/>
    <mergeCell ref="WGS7:WGU7"/>
    <mergeCell ref="WGV7:WGX7"/>
    <mergeCell ref="WGY7:WHA7"/>
    <mergeCell ref="WHB7:WHD7"/>
    <mergeCell ref="WGA7:WGC7"/>
    <mergeCell ref="WGD7:WGF7"/>
    <mergeCell ref="WGG7:WGI7"/>
    <mergeCell ref="WGJ7:WGL7"/>
    <mergeCell ref="WGM7:WGO7"/>
    <mergeCell ref="WFL7:WFN7"/>
    <mergeCell ref="WFO7:WFQ7"/>
    <mergeCell ref="WFR7:WFT7"/>
    <mergeCell ref="WFU7:WFW7"/>
    <mergeCell ref="WFX7:WFZ7"/>
    <mergeCell ref="WEW7:WEY7"/>
    <mergeCell ref="WEZ7:WFB7"/>
    <mergeCell ref="WFC7:WFE7"/>
    <mergeCell ref="WFF7:WFH7"/>
    <mergeCell ref="WFI7:WFK7"/>
    <mergeCell ref="WEH7:WEJ7"/>
    <mergeCell ref="WEK7:WEM7"/>
    <mergeCell ref="WEN7:WEP7"/>
    <mergeCell ref="WEQ7:WES7"/>
    <mergeCell ref="WET7:WEV7"/>
    <mergeCell ref="WDS7:WDU7"/>
    <mergeCell ref="WDV7:WDX7"/>
    <mergeCell ref="WDY7:WEA7"/>
    <mergeCell ref="WEB7:WED7"/>
    <mergeCell ref="WEE7:WEG7"/>
    <mergeCell ref="WDD7:WDF7"/>
    <mergeCell ref="WDG7:WDI7"/>
    <mergeCell ref="WDJ7:WDL7"/>
    <mergeCell ref="WDM7:WDO7"/>
    <mergeCell ref="WDP7:WDR7"/>
    <mergeCell ref="WCO7:WCQ7"/>
    <mergeCell ref="WCR7:WCT7"/>
    <mergeCell ref="WCU7:WCW7"/>
    <mergeCell ref="WCX7:WCZ7"/>
    <mergeCell ref="WDA7:WDC7"/>
    <mergeCell ref="WBZ7:WCB7"/>
    <mergeCell ref="WCC7:WCE7"/>
    <mergeCell ref="WCF7:WCH7"/>
    <mergeCell ref="WCI7:WCK7"/>
    <mergeCell ref="WCL7:WCN7"/>
    <mergeCell ref="WBK7:WBM7"/>
    <mergeCell ref="WBN7:WBP7"/>
    <mergeCell ref="WBQ7:WBS7"/>
    <mergeCell ref="WBT7:WBV7"/>
    <mergeCell ref="WBW7:WBY7"/>
    <mergeCell ref="WAV7:WAX7"/>
    <mergeCell ref="WAY7:WBA7"/>
    <mergeCell ref="WBB7:WBD7"/>
    <mergeCell ref="WBE7:WBG7"/>
    <mergeCell ref="WBH7:WBJ7"/>
    <mergeCell ref="WAG7:WAI7"/>
    <mergeCell ref="WAJ7:WAL7"/>
    <mergeCell ref="WAM7:WAO7"/>
    <mergeCell ref="WAP7:WAR7"/>
    <mergeCell ref="WAS7:WAU7"/>
    <mergeCell ref="VZR7:VZT7"/>
    <mergeCell ref="VZU7:VZW7"/>
    <mergeCell ref="VZX7:VZZ7"/>
    <mergeCell ref="WAA7:WAC7"/>
    <mergeCell ref="WAD7:WAF7"/>
    <mergeCell ref="VZC7:VZE7"/>
    <mergeCell ref="VZF7:VZH7"/>
    <mergeCell ref="VZI7:VZK7"/>
    <mergeCell ref="VZL7:VZN7"/>
    <mergeCell ref="VZO7:VZQ7"/>
    <mergeCell ref="VYN7:VYP7"/>
    <mergeCell ref="VYQ7:VYS7"/>
    <mergeCell ref="VYT7:VYV7"/>
    <mergeCell ref="VYW7:VYY7"/>
    <mergeCell ref="VYZ7:VZB7"/>
    <mergeCell ref="VXY7:VYA7"/>
    <mergeCell ref="VYB7:VYD7"/>
    <mergeCell ref="VYE7:VYG7"/>
    <mergeCell ref="VYH7:VYJ7"/>
    <mergeCell ref="VYK7:VYM7"/>
    <mergeCell ref="VXJ7:VXL7"/>
    <mergeCell ref="VXM7:VXO7"/>
    <mergeCell ref="VXP7:VXR7"/>
    <mergeCell ref="VXS7:VXU7"/>
    <mergeCell ref="VXV7:VXX7"/>
    <mergeCell ref="VWU7:VWW7"/>
    <mergeCell ref="VWX7:VWZ7"/>
    <mergeCell ref="VXA7:VXC7"/>
    <mergeCell ref="VXD7:VXF7"/>
    <mergeCell ref="VXG7:VXI7"/>
    <mergeCell ref="VWF7:VWH7"/>
    <mergeCell ref="VWI7:VWK7"/>
    <mergeCell ref="VWL7:VWN7"/>
    <mergeCell ref="VWO7:VWQ7"/>
    <mergeCell ref="VWR7:VWT7"/>
    <mergeCell ref="VVQ7:VVS7"/>
    <mergeCell ref="VVT7:VVV7"/>
    <mergeCell ref="VVW7:VVY7"/>
    <mergeCell ref="VVZ7:VWB7"/>
    <mergeCell ref="VWC7:VWE7"/>
    <mergeCell ref="VVB7:VVD7"/>
    <mergeCell ref="VVE7:VVG7"/>
    <mergeCell ref="VVH7:VVJ7"/>
    <mergeCell ref="VVK7:VVM7"/>
    <mergeCell ref="VVN7:VVP7"/>
    <mergeCell ref="VUM7:VUO7"/>
    <mergeCell ref="VUP7:VUR7"/>
    <mergeCell ref="VUS7:VUU7"/>
    <mergeCell ref="VUV7:VUX7"/>
    <mergeCell ref="VUY7:VVA7"/>
    <mergeCell ref="VTX7:VTZ7"/>
    <mergeCell ref="VUA7:VUC7"/>
    <mergeCell ref="VUD7:VUF7"/>
    <mergeCell ref="VUG7:VUI7"/>
    <mergeCell ref="VUJ7:VUL7"/>
    <mergeCell ref="VTI7:VTK7"/>
    <mergeCell ref="VTL7:VTN7"/>
    <mergeCell ref="VTO7:VTQ7"/>
    <mergeCell ref="VTR7:VTT7"/>
    <mergeCell ref="VTU7:VTW7"/>
    <mergeCell ref="VST7:VSV7"/>
    <mergeCell ref="VSW7:VSY7"/>
    <mergeCell ref="VSZ7:VTB7"/>
    <mergeCell ref="VTC7:VTE7"/>
    <mergeCell ref="VTF7:VTH7"/>
    <mergeCell ref="VSE7:VSG7"/>
    <mergeCell ref="VSH7:VSJ7"/>
    <mergeCell ref="VSK7:VSM7"/>
    <mergeCell ref="VSN7:VSP7"/>
    <mergeCell ref="VSQ7:VSS7"/>
    <mergeCell ref="VRP7:VRR7"/>
    <mergeCell ref="VRS7:VRU7"/>
    <mergeCell ref="VRV7:VRX7"/>
    <mergeCell ref="VRY7:VSA7"/>
    <mergeCell ref="VSB7:VSD7"/>
    <mergeCell ref="VRA7:VRC7"/>
    <mergeCell ref="VRD7:VRF7"/>
    <mergeCell ref="VRG7:VRI7"/>
    <mergeCell ref="VRJ7:VRL7"/>
    <mergeCell ref="VRM7:VRO7"/>
    <mergeCell ref="VQL7:VQN7"/>
    <mergeCell ref="VQO7:VQQ7"/>
    <mergeCell ref="VQR7:VQT7"/>
    <mergeCell ref="VQU7:VQW7"/>
    <mergeCell ref="VQX7:VQZ7"/>
    <mergeCell ref="VPW7:VPY7"/>
    <mergeCell ref="VPZ7:VQB7"/>
    <mergeCell ref="VQC7:VQE7"/>
    <mergeCell ref="VQF7:VQH7"/>
    <mergeCell ref="VQI7:VQK7"/>
    <mergeCell ref="VPH7:VPJ7"/>
    <mergeCell ref="VPK7:VPM7"/>
    <mergeCell ref="VPN7:VPP7"/>
    <mergeCell ref="VPQ7:VPS7"/>
    <mergeCell ref="VPT7:VPV7"/>
    <mergeCell ref="VOS7:VOU7"/>
    <mergeCell ref="VOV7:VOX7"/>
    <mergeCell ref="VOY7:VPA7"/>
    <mergeCell ref="VPB7:VPD7"/>
    <mergeCell ref="VPE7:VPG7"/>
    <mergeCell ref="VOD7:VOF7"/>
    <mergeCell ref="VOG7:VOI7"/>
    <mergeCell ref="VOJ7:VOL7"/>
    <mergeCell ref="VOM7:VOO7"/>
    <mergeCell ref="VOP7:VOR7"/>
    <mergeCell ref="VNO7:VNQ7"/>
    <mergeCell ref="VNR7:VNT7"/>
    <mergeCell ref="VNU7:VNW7"/>
    <mergeCell ref="VNX7:VNZ7"/>
    <mergeCell ref="VOA7:VOC7"/>
    <mergeCell ref="VMZ7:VNB7"/>
    <mergeCell ref="VNC7:VNE7"/>
    <mergeCell ref="VNF7:VNH7"/>
    <mergeCell ref="VNI7:VNK7"/>
    <mergeCell ref="VNL7:VNN7"/>
    <mergeCell ref="VMK7:VMM7"/>
    <mergeCell ref="VMN7:VMP7"/>
    <mergeCell ref="VMQ7:VMS7"/>
    <mergeCell ref="VMT7:VMV7"/>
    <mergeCell ref="VMW7:VMY7"/>
    <mergeCell ref="VLV7:VLX7"/>
    <mergeCell ref="VLY7:VMA7"/>
    <mergeCell ref="VMB7:VMD7"/>
    <mergeCell ref="VME7:VMG7"/>
    <mergeCell ref="VMH7:VMJ7"/>
    <mergeCell ref="VLG7:VLI7"/>
    <mergeCell ref="VLJ7:VLL7"/>
    <mergeCell ref="VLM7:VLO7"/>
    <mergeCell ref="VLP7:VLR7"/>
    <mergeCell ref="VLS7:VLU7"/>
    <mergeCell ref="VKR7:VKT7"/>
    <mergeCell ref="VKU7:VKW7"/>
    <mergeCell ref="VKX7:VKZ7"/>
    <mergeCell ref="VLA7:VLC7"/>
    <mergeCell ref="VLD7:VLF7"/>
    <mergeCell ref="VKC7:VKE7"/>
    <mergeCell ref="VKF7:VKH7"/>
    <mergeCell ref="VKI7:VKK7"/>
    <mergeCell ref="VKL7:VKN7"/>
    <mergeCell ref="VKO7:VKQ7"/>
    <mergeCell ref="VJN7:VJP7"/>
    <mergeCell ref="VJQ7:VJS7"/>
    <mergeCell ref="VJT7:VJV7"/>
    <mergeCell ref="VJW7:VJY7"/>
    <mergeCell ref="VJZ7:VKB7"/>
    <mergeCell ref="VIY7:VJA7"/>
    <mergeCell ref="VJB7:VJD7"/>
    <mergeCell ref="VJE7:VJG7"/>
    <mergeCell ref="VJH7:VJJ7"/>
    <mergeCell ref="VJK7:VJM7"/>
    <mergeCell ref="VIJ7:VIL7"/>
    <mergeCell ref="VIM7:VIO7"/>
    <mergeCell ref="VIP7:VIR7"/>
    <mergeCell ref="VIS7:VIU7"/>
    <mergeCell ref="VIV7:VIX7"/>
    <mergeCell ref="VHU7:VHW7"/>
    <mergeCell ref="VHX7:VHZ7"/>
    <mergeCell ref="VIA7:VIC7"/>
    <mergeCell ref="VID7:VIF7"/>
    <mergeCell ref="VIG7:VII7"/>
    <mergeCell ref="VHF7:VHH7"/>
    <mergeCell ref="VHI7:VHK7"/>
    <mergeCell ref="VHL7:VHN7"/>
    <mergeCell ref="VHO7:VHQ7"/>
    <mergeCell ref="VHR7:VHT7"/>
    <mergeCell ref="VGQ7:VGS7"/>
    <mergeCell ref="VGT7:VGV7"/>
    <mergeCell ref="VGW7:VGY7"/>
    <mergeCell ref="VGZ7:VHB7"/>
    <mergeCell ref="VHC7:VHE7"/>
    <mergeCell ref="VGB7:VGD7"/>
    <mergeCell ref="VGE7:VGG7"/>
    <mergeCell ref="VGH7:VGJ7"/>
    <mergeCell ref="VGK7:VGM7"/>
    <mergeCell ref="VGN7:VGP7"/>
    <mergeCell ref="VFM7:VFO7"/>
    <mergeCell ref="VFP7:VFR7"/>
    <mergeCell ref="VFS7:VFU7"/>
    <mergeCell ref="VFV7:VFX7"/>
    <mergeCell ref="VFY7:VGA7"/>
    <mergeCell ref="VEX7:VEZ7"/>
    <mergeCell ref="VFA7:VFC7"/>
    <mergeCell ref="VFD7:VFF7"/>
    <mergeCell ref="VFG7:VFI7"/>
    <mergeCell ref="VFJ7:VFL7"/>
    <mergeCell ref="VEI7:VEK7"/>
    <mergeCell ref="VEL7:VEN7"/>
    <mergeCell ref="VEO7:VEQ7"/>
    <mergeCell ref="VER7:VET7"/>
    <mergeCell ref="VEU7:VEW7"/>
    <mergeCell ref="VDT7:VDV7"/>
    <mergeCell ref="VDW7:VDY7"/>
    <mergeCell ref="VDZ7:VEB7"/>
    <mergeCell ref="VEC7:VEE7"/>
    <mergeCell ref="VEF7:VEH7"/>
    <mergeCell ref="VDE7:VDG7"/>
    <mergeCell ref="VDH7:VDJ7"/>
    <mergeCell ref="VDK7:VDM7"/>
    <mergeCell ref="VDN7:VDP7"/>
    <mergeCell ref="VDQ7:VDS7"/>
    <mergeCell ref="VCP7:VCR7"/>
    <mergeCell ref="VCS7:VCU7"/>
    <mergeCell ref="VCV7:VCX7"/>
    <mergeCell ref="VCY7:VDA7"/>
    <mergeCell ref="VDB7:VDD7"/>
    <mergeCell ref="VCA7:VCC7"/>
    <mergeCell ref="VCD7:VCF7"/>
    <mergeCell ref="VCG7:VCI7"/>
    <mergeCell ref="VCJ7:VCL7"/>
    <mergeCell ref="VCM7:VCO7"/>
    <mergeCell ref="VBL7:VBN7"/>
    <mergeCell ref="VBO7:VBQ7"/>
    <mergeCell ref="VBR7:VBT7"/>
    <mergeCell ref="VBU7:VBW7"/>
    <mergeCell ref="VBX7:VBZ7"/>
    <mergeCell ref="VAW7:VAY7"/>
    <mergeCell ref="VAZ7:VBB7"/>
    <mergeCell ref="VBC7:VBE7"/>
    <mergeCell ref="VBF7:VBH7"/>
    <mergeCell ref="VBI7:VBK7"/>
    <mergeCell ref="VAH7:VAJ7"/>
    <mergeCell ref="VAK7:VAM7"/>
    <mergeCell ref="VAN7:VAP7"/>
    <mergeCell ref="VAQ7:VAS7"/>
    <mergeCell ref="VAT7:VAV7"/>
    <mergeCell ref="UZS7:UZU7"/>
    <mergeCell ref="UZV7:UZX7"/>
    <mergeCell ref="UZY7:VAA7"/>
    <mergeCell ref="VAB7:VAD7"/>
    <mergeCell ref="VAE7:VAG7"/>
    <mergeCell ref="UZD7:UZF7"/>
    <mergeCell ref="UZG7:UZI7"/>
    <mergeCell ref="UZJ7:UZL7"/>
    <mergeCell ref="UZM7:UZO7"/>
    <mergeCell ref="UZP7:UZR7"/>
    <mergeCell ref="UYO7:UYQ7"/>
    <mergeCell ref="UYR7:UYT7"/>
    <mergeCell ref="UYU7:UYW7"/>
    <mergeCell ref="UYX7:UYZ7"/>
    <mergeCell ref="UZA7:UZC7"/>
    <mergeCell ref="UXZ7:UYB7"/>
    <mergeCell ref="UYC7:UYE7"/>
    <mergeCell ref="UYF7:UYH7"/>
    <mergeCell ref="UYI7:UYK7"/>
    <mergeCell ref="UYL7:UYN7"/>
    <mergeCell ref="UXK7:UXM7"/>
    <mergeCell ref="UXN7:UXP7"/>
    <mergeCell ref="UXQ7:UXS7"/>
    <mergeCell ref="UXT7:UXV7"/>
    <mergeCell ref="UXW7:UXY7"/>
    <mergeCell ref="UWV7:UWX7"/>
    <mergeCell ref="UWY7:UXA7"/>
    <mergeCell ref="UXB7:UXD7"/>
    <mergeCell ref="UXE7:UXG7"/>
    <mergeCell ref="UXH7:UXJ7"/>
    <mergeCell ref="UWG7:UWI7"/>
    <mergeCell ref="UWJ7:UWL7"/>
    <mergeCell ref="UWM7:UWO7"/>
    <mergeCell ref="UWP7:UWR7"/>
    <mergeCell ref="UWS7:UWU7"/>
    <mergeCell ref="UVR7:UVT7"/>
    <mergeCell ref="UVU7:UVW7"/>
    <mergeCell ref="UVX7:UVZ7"/>
    <mergeCell ref="UWA7:UWC7"/>
    <mergeCell ref="UWD7:UWF7"/>
    <mergeCell ref="UVC7:UVE7"/>
    <mergeCell ref="UVF7:UVH7"/>
    <mergeCell ref="UVI7:UVK7"/>
    <mergeCell ref="UVL7:UVN7"/>
    <mergeCell ref="UVO7:UVQ7"/>
    <mergeCell ref="UUN7:UUP7"/>
    <mergeCell ref="UUQ7:UUS7"/>
    <mergeCell ref="UUT7:UUV7"/>
    <mergeCell ref="UUW7:UUY7"/>
    <mergeCell ref="UUZ7:UVB7"/>
    <mergeCell ref="UTY7:UUA7"/>
    <mergeCell ref="UUB7:UUD7"/>
    <mergeCell ref="UUE7:UUG7"/>
    <mergeCell ref="UUH7:UUJ7"/>
    <mergeCell ref="UUK7:UUM7"/>
    <mergeCell ref="UTJ7:UTL7"/>
    <mergeCell ref="UTM7:UTO7"/>
    <mergeCell ref="UTP7:UTR7"/>
    <mergeCell ref="UTS7:UTU7"/>
    <mergeCell ref="UTV7:UTX7"/>
    <mergeCell ref="USU7:USW7"/>
    <mergeCell ref="USX7:USZ7"/>
    <mergeCell ref="UTA7:UTC7"/>
    <mergeCell ref="UTD7:UTF7"/>
    <mergeCell ref="UTG7:UTI7"/>
    <mergeCell ref="USF7:USH7"/>
    <mergeCell ref="USI7:USK7"/>
    <mergeCell ref="USL7:USN7"/>
    <mergeCell ref="USO7:USQ7"/>
    <mergeCell ref="USR7:UST7"/>
    <mergeCell ref="URQ7:URS7"/>
    <mergeCell ref="URT7:URV7"/>
    <mergeCell ref="URW7:URY7"/>
    <mergeCell ref="URZ7:USB7"/>
    <mergeCell ref="USC7:USE7"/>
    <mergeCell ref="URB7:URD7"/>
    <mergeCell ref="URE7:URG7"/>
    <mergeCell ref="URH7:URJ7"/>
    <mergeCell ref="URK7:URM7"/>
    <mergeCell ref="URN7:URP7"/>
    <mergeCell ref="UQM7:UQO7"/>
    <mergeCell ref="UQP7:UQR7"/>
    <mergeCell ref="UQS7:UQU7"/>
    <mergeCell ref="UQV7:UQX7"/>
    <mergeCell ref="UQY7:URA7"/>
    <mergeCell ref="UPX7:UPZ7"/>
    <mergeCell ref="UQA7:UQC7"/>
    <mergeCell ref="UQD7:UQF7"/>
    <mergeCell ref="UQG7:UQI7"/>
    <mergeCell ref="UQJ7:UQL7"/>
    <mergeCell ref="UPI7:UPK7"/>
    <mergeCell ref="UPL7:UPN7"/>
    <mergeCell ref="UPO7:UPQ7"/>
    <mergeCell ref="UPR7:UPT7"/>
    <mergeCell ref="UPU7:UPW7"/>
    <mergeCell ref="UOT7:UOV7"/>
    <mergeCell ref="UOW7:UOY7"/>
    <mergeCell ref="UOZ7:UPB7"/>
    <mergeCell ref="UPC7:UPE7"/>
    <mergeCell ref="UPF7:UPH7"/>
    <mergeCell ref="UOE7:UOG7"/>
    <mergeCell ref="UOH7:UOJ7"/>
    <mergeCell ref="UOK7:UOM7"/>
    <mergeCell ref="UON7:UOP7"/>
    <mergeCell ref="UOQ7:UOS7"/>
    <mergeCell ref="UNP7:UNR7"/>
    <mergeCell ref="UNS7:UNU7"/>
    <mergeCell ref="UNV7:UNX7"/>
    <mergeCell ref="UNY7:UOA7"/>
    <mergeCell ref="UOB7:UOD7"/>
    <mergeCell ref="UNA7:UNC7"/>
    <mergeCell ref="UND7:UNF7"/>
    <mergeCell ref="UNG7:UNI7"/>
    <mergeCell ref="UNJ7:UNL7"/>
    <mergeCell ref="UNM7:UNO7"/>
    <mergeCell ref="UML7:UMN7"/>
    <mergeCell ref="UMO7:UMQ7"/>
    <mergeCell ref="UMR7:UMT7"/>
    <mergeCell ref="UMU7:UMW7"/>
    <mergeCell ref="UMX7:UMZ7"/>
    <mergeCell ref="ULW7:ULY7"/>
    <mergeCell ref="ULZ7:UMB7"/>
    <mergeCell ref="UMC7:UME7"/>
    <mergeCell ref="UMF7:UMH7"/>
    <mergeCell ref="UMI7:UMK7"/>
    <mergeCell ref="ULH7:ULJ7"/>
    <mergeCell ref="ULK7:ULM7"/>
    <mergeCell ref="ULN7:ULP7"/>
    <mergeCell ref="ULQ7:ULS7"/>
    <mergeCell ref="ULT7:ULV7"/>
    <mergeCell ref="UKS7:UKU7"/>
    <mergeCell ref="UKV7:UKX7"/>
    <mergeCell ref="UKY7:ULA7"/>
    <mergeCell ref="ULB7:ULD7"/>
    <mergeCell ref="ULE7:ULG7"/>
    <mergeCell ref="UKD7:UKF7"/>
    <mergeCell ref="UKG7:UKI7"/>
    <mergeCell ref="UKJ7:UKL7"/>
    <mergeCell ref="UKM7:UKO7"/>
    <mergeCell ref="UKP7:UKR7"/>
    <mergeCell ref="UJO7:UJQ7"/>
    <mergeCell ref="UJR7:UJT7"/>
    <mergeCell ref="UJU7:UJW7"/>
    <mergeCell ref="UJX7:UJZ7"/>
    <mergeCell ref="UKA7:UKC7"/>
    <mergeCell ref="UIZ7:UJB7"/>
    <mergeCell ref="UJC7:UJE7"/>
    <mergeCell ref="UJF7:UJH7"/>
    <mergeCell ref="UJI7:UJK7"/>
    <mergeCell ref="UJL7:UJN7"/>
    <mergeCell ref="UIK7:UIM7"/>
    <mergeCell ref="UIN7:UIP7"/>
    <mergeCell ref="UIQ7:UIS7"/>
    <mergeCell ref="UIT7:UIV7"/>
    <mergeCell ref="UIW7:UIY7"/>
    <mergeCell ref="UHV7:UHX7"/>
    <mergeCell ref="UHY7:UIA7"/>
    <mergeCell ref="UIB7:UID7"/>
    <mergeCell ref="UIE7:UIG7"/>
    <mergeCell ref="UIH7:UIJ7"/>
    <mergeCell ref="UHG7:UHI7"/>
    <mergeCell ref="UHJ7:UHL7"/>
    <mergeCell ref="UHM7:UHO7"/>
    <mergeCell ref="UHP7:UHR7"/>
    <mergeCell ref="UHS7:UHU7"/>
    <mergeCell ref="UGR7:UGT7"/>
    <mergeCell ref="UGU7:UGW7"/>
    <mergeCell ref="UGX7:UGZ7"/>
    <mergeCell ref="UHA7:UHC7"/>
    <mergeCell ref="UHD7:UHF7"/>
    <mergeCell ref="UGC7:UGE7"/>
    <mergeCell ref="UGF7:UGH7"/>
    <mergeCell ref="UGI7:UGK7"/>
    <mergeCell ref="UGL7:UGN7"/>
    <mergeCell ref="UGO7:UGQ7"/>
    <mergeCell ref="UFN7:UFP7"/>
    <mergeCell ref="UFQ7:UFS7"/>
    <mergeCell ref="UFT7:UFV7"/>
    <mergeCell ref="UFW7:UFY7"/>
    <mergeCell ref="UFZ7:UGB7"/>
    <mergeCell ref="UEY7:UFA7"/>
    <mergeCell ref="UFB7:UFD7"/>
    <mergeCell ref="UFE7:UFG7"/>
    <mergeCell ref="UFH7:UFJ7"/>
    <mergeCell ref="UFK7:UFM7"/>
    <mergeCell ref="UEJ7:UEL7"/>
    <mergeCell ref="UEM7:UEO7"/>
    <mergeCell ref="UEP7:UER7"/>
    <mergeCell ref="UES7:UEU7"/>
    <mergeCell ref="UEV7:UEX7"/>
    <mergeCell ref="UDU7:UDW7"/>
    <mergeCell ref="UDX7:UDZ7"/>
    <mergeCell ref="UEA7:UEC7"/>
    <mergeCell ref="UED7:UEF7"/>
    <mergeCell ref="UEG7:UEI7"/>
    <mergeCell ref="UDF7:UDH7"/>
    <mergeCell ref="UDI7:UDK7"/>
    <mergeCell ref="UDL7:UDN7"/>
    <mergeCell ref="UDO7:UDQ7"/>
    <mergeCell ref="UDR7:UDT7"/>
    <mergeCell ref="UCQ7:UCS7"/>
    <mergeCell ref="UCT7:UCV7"/>
    <mergeCell ref="UCW7:UCY7"/>
    <mergeCell ref="UCZ7:UDB7"/>
    <mergeCell ref="UDC7:UDE7"/>
    <mergeCell ref="UCB7:UCD7"/>
    <mergeCell ref="UCE7:UCG7"/>
    <mergeCell ref="UCH7:UCJ7"/>
    <mergeCell ref="UCK7:UCM7"/>
    <mergeCell ref="UCN7:UCP7"/>
    <mergeCell ref="UBM7:UBO7"/>
    <mergeCell ref="UBP7:UBR7"/>
    <mergeCell ref="UBS7:UBU7"/>
    <mergeCell ref="UBV7:UBX7"/>
    <mergeCell ref="UBY7:UCA7"/>
    <mergeCell ref="UAX7:UAZ7"/>
    <mergeCell ref="UBA7:UBC7"/>
    <mergeCell ref="UBD7:UBF7"/>
    <mergeCell ref="UBG7:UBI7"/>
    <mergeCell ref="UBJ7:UBL7"/>
    <mergeCell ref="UAI7:UAK7"/>
    <mergeCell ref="UAL7:UAN7"/>
    <mergeCell ref="UAO7:UAQ7"/>
    <mergeCell ref="UAR7:UAT7"/>
    <mergeCell ref="UAU7:UAW7"/>
    <mergeCell ref="TZT7:TZV7"/>
    <mergeCell ref="TZW7:TZY7"/>
    <mergeCell ref="TZZ7:UAB7"/>
    <mergeCell ref="UAC7:UAE7"/>
    <mergeCell ref="UAF7:UAH7"/>
    <mergeCell ref="TZE7:TZG7"/>
    <mergeCell ref="TZH7:TZJ7"/>
    <mergeCell ref="TZK7:TZM7"/>
    <mergeCell ref="TZN7:TZP7"/>
    <mergeCell ref="TZQ7:TZS7"/>
    <mergeCell ref="TYP7:TYR7"/>
    <mergeCell ref="TYS7:TYU7"/>
    <mergeCell ref="TYV7:TYX7"/>
    <mergeCell ref="TYY7:TZA7"/>
    <mergeCell ref="TZB7:TZD7"/>
    <mergeCell ref="TYA7:TYC7"/>
    <mergeCell ref="TYD7:TYF7"/>
    <mergeCell ref="TYG7:TYI7"/>
    <mergeCell ref="TYJ7:TYL7"/>
    <mergeCell ref="TYM7:TYO7"/>
    <mergeCell ref="TXL7:TXN7"/>
    <mergeCell ref="TXO7:TXQ7"/>
    <mergeCell ref="TXR7:TXT7"/>
    <mergeCell ref="TXU7:TXW7"/>
    <mergeCell ref="TXX7:TXZ7"/>
    <mergeCell ref="TWW7:TWY7"/>
    <mergeCell ref="TWZ7:TXB7"/>
    <mergeCell ref="TXC7:TXE7"/>
    <mergeCell ref="TXF7:TXH7"/>
    <mergeCell ref="TXI7:TXK7"/>
    <mergeCell ref="TWH7:TWJ7"/>
    <mergeCell ref="TWK7:TWM7"/>
    <mergeCell ref="TWN7:TWP7"/>
    <mergeCell ref="TWQ7:TWS7"/>
    <mergeCell ref="TWT7:TWV7"/>
    <mergeCell ref="TVS7:TVU7"/>
    <mergeCell ref="TVV7:TVX7"/>
    <mergeCell ref="TVY7:TWA7"/>
    <mergeCell ref="TWB7:TWD7"/>
    <mergeCell ref="TWE7:TWG7"/>
    <mergeCell ref="TVD7:TVF7"/>
    <mergeCell ref="TVG7:TVI7"/>
    <mergeCell ref="TVJ7:TVL7"/>
    <mergeCell ref="TVM7:TVO7"/>
    <mergeCell ref="TVP7:TVR7"/>
    <mergeCell ref="TUO7:TUQ7"/>
    <mergeCell ref="TUR7:TUT7"/>
    <mergeCell ref="TUU7:TUW7"/>
    <mergeCell ref="TUX7:TUZ7"/>
    <mergeCell ref="TVA7:TVC7"/>
    <mergeCell ref="TTZ7:TUB7"/>
    <mergeCell ref="TUC7:TUE7"/>
    <mergeCell ref="TUF7:TUH7"/>
    <mergeCell ref="TUI7:TUK7"/>
    <mergeCell ref="TUL7:TUN7"/>
    <mergeCell ref="TTK7:TTM7"/>
    <mergeCell ref="TTN7:TTP7"/>
    <mergeCell ref="TTQ7:TTS7"/>
    <mergeCell ref="TTT7:TTV7"/>
    <mergeCell ref="TTW7:TTY7"/>
    <mergeCell ref="TSV7:TSX7"/>
    <mergeCell ref="TSY7:TTA7"/>
    <mergeCell ref="TTB7:TTD7"/>
    <mergeCell ref="TTE7:TTG7"/>
    <mergeCell ref="TTH7:TTJ7"/>
    <mergeCell ref="TSG7:TSI7"/>
    <mergeCell ref="TSJ7:TSL7"/>
    <mergeCell ref="TSM7:TSO7"/>
    <mergeCell ref="TSP7:TSR7"/>
    <mergeCell ref="TSS7:TSU7"/>
    <mergeCell ref="TRR7:TRT7"/>
    <mergeCell ref="TRU7:TRW7"/>
    <mergeCell ref="TRX7:TRZ7"/>
    <mergeCell ref="TSA7:TSC7"/>
    <mergeCell ref="TSD7:TSF7"/>
    <mergeCell ref="TRC7:TRE7"/>
    <mergeCell ref="TRF7:TRH7"/>
    <mergeCell ref="TRI7:TRK7"/>
    <mergeCell ref="TRL7:TRN7"/>
    <mergeCell ref="TRO7:TRQ7"/>
    <mergeCell ref="TQN7:TQP7"/>
    <mergeCell ref="TQQ7:TQS7"/>
    <mergeCell ref="TQT7:TQV7"/>
    <mergeCell ref="TQW7:TQY7"/>
    <mergeCell ref="TQZ7:TRB7"/>
    <mergeCell ref="TPY7:TQA7"/>
    <mergeCell ref="TQB7:TQD7"/>
    <mergeCell ref="TQE7:TQG7"/>
    <mergeCell ref="TQH7:TQJ7"/>
    <mergeCell ref="TQK7:TQM7"/>
    <mergeCell ref="TPJ7:TPL7"/>
    <mergeCell ref="TPM7:TPO7"/>
    <mergeCell ref="TPP7:TPR7"/>
    <mergeCell ref="TPS7:TPU7"/>
    <mergeCell ref="TPV7:TPX7"/>
    <mergeCell ref="TOU7:TOW7"/>
    <mergeCell ref="TOX7:TOZ7"/>
    <mergeCell ref="TPA7:TPC7"/>
    <mergeCell ref="TPD7:TPF7"/>
    <mergeCell ref="TPG7:TPI7"/>
    <mergeCell ref="TOF7:TOH7"/>
    <mergeCell ref="TOI7:TOK7"/>
    <mergeCell ref="TOL7:TON7"/>
    <mergeCell ref="TOO7:TOQ7"/>
    <mergeCell ref="TOR7:TOT7"/>
    <mergeCell ref="TNQ7:TNS7"/>
    <mergeCell ref="TNT7:TNV7"/>
    <mergeCell ref="TNW7:TNY7"/>
    <mergeCell ref="TNZ7:TOB7"/>
    <mergeCell ref="TOC7:TOE7"/>
    <mergeCell ref="TNB7:TND7"/>
    <mergeCell ref="TNE7:TNG7"/>
    <mergeCell ref="TNH7:TNJ7"/>
    <mergeCell ref="TNK7:TNM7"/>
    <mergeCell ref="TNN7:TNP7"/>
    <mergeCell ref="TMM7:TMO7"/>
    <mergeCell ref="TMP7:TMR7"/>
    <mergeCell ref="TMS7:TMU7"/>
    <mergeCell ref="TMV7:TMX7"/>
    <mergeCell ref="TMY7:TNA7"/>
    <mergeCell ref="TLX7:TLZ7"/>
    <mergeCell ref="TMA7:TMC7"/>
    <mergeCell ref="TMD7:TMF7"/>
    <mergeCell ref="TMG7:TMI7"/>
    <mergeCell ref="TMJ7:TML7"/>
    <mergeCell ref="TLI7:TLK7"/>
    <mergeCell ref="TLL7:TLN7"/>
    <mergeCell ref="TLO7:TLQ7"/>
    <mergeCell ref="TLR7:TLT7"/>
    <mergeCell ref="TLU7:TLW7"/>
    <mergeCell ref="TKT7:TKV7"/>
    <mergeCell ref="TKW7:TKY7"/>
    <mergeCell ref="TKZ7:TLB7"/>
    <mergeCell ref="TLC7:TLE7"/>
    <mergeCell ref="TLF7:TLH7"/>
    <mergeCell ref="TKE7:TKG7"/>
    <mergeCell ref="TKH7:TKJ7"/>
    <mergeCell ref="TKK7:TKM7"/>
    <mergeCell ref="TKN7:TKP7"/>
    <mergeCell ref="TKQ7:TKS7"/>
    <mergeCell ref="TJP7:TJR7"/>
    <mergeCell ref="TJS7:TJU7"/>
    <mergeCell ref="TJV7:TJX7"/>
    <mergeCell ref="TJY7:TKA7"/>
    <mergeCell ref="TKB7:TKD7"/>
    <mergeCell ref="TJA7:TJC7"/>
    <mergeCell ref="TJD7:TJF7"/>
    <mergeCell ref="TJG7:TJI7"/>
    <mergeCell ref="TJJ7:TJL7"/>
    <mergeCell ref="TJM7:TJO7"/>
    <mergeCell ref="TIL7:TIN7"/>
    <mergeCell ref="TIO7:TIQ7"/>
    <mergeCell ref="TIR7:TIT7"/>
    <mergeCell ref="TIU7:TIW7"/>
    <mergeCell ref="TIX7:TIZ7"/>
    <mergeCell ref="THW7:THY7"/>
    <mergeCell ref="THZ7:TIB7"/>
    <mergeCell ref="TIC7:TIE7"/>
    <mergeCell ref="TIF7:TIH7"/>
    <mergeCell ref="TII7:TIK7"/>
    <mergeCell ref="THH7:THJ7"/>
    <mergeCell ref="THK7:THM7"/>
    <mergeCell ref="THN7:THP7"/>
    <mergeCell ref="THQ7:THS7"/>
    <mergeCell ref="THT7:THV7"/>
    <mergeCell ref="TGS7:TGU7"/>
    <mergeCell ref="TGV7:TGX7"/>
    <mergeCell ref="TGY7:THA7"/>
    <mergeCell ref="THB7:THD7"/>
    <mergeCell ref="THE7:THG7"/>
    <mergeCell ref="TGD7:TGF7"/>
    <mergeCell ref="TGG7:TGI7"/>
    <mergeCell ref="TGJ7:TGL7"/>
    <mergeCell ref="TGM7:TGO7"/>
    <mergeCell ref="TGP7:TGR7"/>
    <mergeCell ref="TFO7:TFQ7"/>
    <mergeCell ref="TFR7:TFT7"/>
    <mergeCell ref="TFU7:TFW7"/>
    <mergeCell ref="TFX7:TFZ7"/>
    <mergeCell ref="TGA7:TGC7"/>
    <mergeCell ref="TEZ7:TFB7"/>
    <mergeCell ref="TFC7:TFE7"/>
    <mergeCell ref="TFF7:TFH7"/>
    <mergeCell ref="TFI7:TFK7"/>
    <mergeCell ref="TFL7:TFN7"/>
    <mergeCell ref="TEK7:TEM7"/>
    <mergeCell ref="TEN7:TEP7"/>
    <mergeCell ref="TEQ7:TES7"/>
    <mergeCell ref="TET7:TEV7"/>
    <mergeCell ref="TEW7:TEY7"/>
    <mergeCell ref="TDV7:TDX7"/>
    <mergeCell ref="TDY7:TEA7"/>
    <mergeCell ref="TEB7:TED7"/>
    <mergeCell ref="TEE7:TEG7"/>
    <mergeCell ref="TEH7:TEJ7"/>
    <mergeCell ref="TDG7:TDI7"/>
    <mergeCell ref="TDJ7:TDL7"/>
    <mergeCell ref="TDM7:TDO7"/>
    <mergeCell ref="TDP7:TDR7"/>
    <mergeCell ref="TDS7:TDU7"/>
    <mergeCell ref="TCR7:TCT7"/>
    <mergeCell ref="TCU7:TCW7"/>
    <mergeCell ref="TCX7:TCZ7"/>
    <mergeCell ref="TDA7:TDC7"/>
    <mergeCell ref="TDD7:TDF7"/>
    <mergeCell ref="TCC7:TCE7"/>
    <mergeCell ref="TCF7:TCH7"/>
    <mergeCell ref="TCI7:TCK7"/>
    <mergeCell ref="TCL7:TCN7"/>
    <mergeCell ref="TCO7:TCQ7"/>
    <mergeCell ref="TBN7:TBP7"/>
    <mergeCell ref="TBQ7:TBS7"/>
    <mergeCell ref="TBT7:TBV7"/>
    <mergeCell ref="TBW7:TBY7"/>
    <mergeCell ref="TBZ7:TCB7"/>
    <mergeCell ref="TAY7:TBA7"/>
    <mergeCell ref="TBB7:TBD7"/>
    <mergeCell ref="TBE7:TBG7"/>
    <mergeCell ref="TBH7:TBJ7"/>
    <mergeCell ref="TBK7:TBM7"/>
    <mergeCell ref="TAJ7:TAL7"/>
    <mergeCell ref="TAM7:TAO7"/>
    <mergeCell ref="TAP7:TAR7"/>
    <mergeCell ref="TAS7:TAU7"/>
    <mergeCell ref="TAV7:TAX7"/>
    <mergeCell ref="SZU7:SZW7"/>
    <mergeCell ref="SZX7:SZZ7"/>
    <mergeCell ref="TAA7:TAC7"/>
    <mergeCell ref="TAD7:TAF7"/>
    <mergeCell ref="TAG7:TAI7"/>
    <mergeCell ref="SZF7:SZH7"/>
    <mergeCell ref="SZI7:SZK7"/>
    <mergeCell ref="SZL7:SZN7"/>
    <mergeCell ref="SZO7:SZQ7"/>
    <mergeCell ref="SZR7:SZT7"/>
    <mergeCell ref="SYQ7:SYS7"/>
    <mergeCell ref="SYT7:SYV7"/>
    <mergeCell ref="SYW7:SYY7"/>
    <mergeCell ref="SYZ7:SZB7"/>
    <mergeCell ref="SZC7:SZE7"/>
    <mergeCell ref="SYB7:SYD7"/>
    <mergeCell ref="SYE7:SYG7"/>
    <mergeCell ref="SYH7:SYJ7"/>
    <mergeCell ref="SYK7:SYM7"/>
    <mergeCell ref="SYN7:SYP7"/>
    <mergeCell ref="SXM7:SXO7"/>
    <mergeCell ref="SXP7:SXR7"/>
    <mergeCell ref="SXS7:SXU7"/>
    <mergeCell ref="SXV7:SXX7"/>
    <mergeCell ref="SXY7:SYA7"/>
    <mergeCell ref="SWX7:SWZ7"/>
    <mergeCell ref="SXA7:SXC7"/>
    <mergeCell ref="SXD7:SXF7"/>
    <mergeCell ref="SXG7:SXI7"/>
    <mergeCell ref="SXJ7:SXL7"/>
    <mergeCell ref="SWI7:SWK7"/>
    <mergeCell ref="SWL7:SWN7"/>
    <mergeCell ref="SWO7:SWQ7"/>
    <mergeCell ref="SWR7:SWT7"/>
    <mergeCell ref="SWU7:SWW7"/>
    <mergeCell ref="SVT7:SVV7"/>
    <mergeCell ref="SVW7:SVY7"/>
    <mergeCell ref="SVZ7:SWB7"/>
    <mergeCell ref="SWC7:SWE7"/>
    <mergeCell ref="SWF7:SWH7"/>
    <mergeCell ref="SVE7:SVG7"/>
    <mergeCell ref="SVH7:SVJ7"/>
    <mergeCell ref="SVK7:SVM7"/>
    <mergeCell ref="SVN7:SVP7"/>
    <mergeCell ref="SVQ7:SVS7"/>
    <mergeCell ref="SUP7:SUR7"/>
    <mergeCell ref="SUS7:SUU7"/>
    <mergeCell ref="SUV7:SUX7"/>
    <mergeCell ref="SUY7:SVA7"/>
    <mergeCell ref="SVB7:SVD7"/>
    <mergeCell ref="SUA7:SUC7"/>
    <mergeCell ref="SUD7:SUF7"/>
    <mergeCell ref="SUG7:SUI7"/>
    <mergeCell ref="SUJ7:SUL7"/>
    <mergeCell ref="SUM7:SUO7"/>
    <mergeCell ref="STL7:STN7"/>
    <mergeCell ref="STO7:STQ7"/>
    <mergeCell ref="STR7:STT7"/>
    <mergeCell ref="STU7:STW7"/>
    <mergeCell ref="STX7:STZ7"/>
    <mergeCell ref="SSW7:SSY7"/>
    <mergeCell ref="SSZ7:STB7"/>
    <mergeCell ref="STC7:STE7"/>
    <mergeCell ref="STF7:STH7"/>
    <mergeCell ref="STI7:STK7"/>
    <mergeCell ref="SSH7:SSJ7"/>
    <mergeCell ref="SSK7:SSM7"/>
    <mergeCell ref="SSN7:SSP7"/>
    <mergeCell ref="SSQ7:SSS7"/>
    <mergeCell ref="SST7:SSV7"/>
    <mergeCell ref="SRS7:SRU7"/>
    <mergeCell ref="SRV7:SRX7"/>
    <mergeCell ref="SRY7:SSA7"/>
    <mergeCell ref="SSB7:SSD7"/>
    <mergeCell ref="SSE7:SSG7"/>
    <mergeCell ref="SRD7:SRF7"/>
    <mergeCell ref="SRG7:SRI7"/>
    <mergeCell ref="SRJ7:SRL7"/>
    <mergeCell ref="SRM7:SRO7"/>
    <mergeCell ref="SRP7:SRR7"/>
    <mergeCell ref="SQO7:SQQ7"/>
    <mergeCell ref="SQR7:SQT7"/>
    <mergeCell ref="SQU7:SQW7"/>
    <mergeCell ref="SQX7:SQZ7"/>
    <mergeCell ref="SRA7:SRC7"/>
    <mergeCell ref="SPZ7:SQB7"/>
    <mergeCell ref="SQC7:SQE7"/>
    <mergeCell ref="SQF7:SQH7"/>
    <mergeCell ref="SQI7:SQK7"/>
    <mergeCell ref="SQL7:SQN7"/>
    <mergeCell ref="SPK7:SPM7"/>
    <mergeCell ref="SPN7:SPP7"/>
    <mergeCell ref="SPQ7:SPS7"/>
    <mergeCell ref="SPT7:SPV7"/>
    <mergeCell ref="SPW7:SPY7"/>
    <mergeCell ref="SOV7:SOX7"/>
    <mergeCell ref="SOY7:SPA7"/>
    <mergeCell ref="SPB7:SPD7"/>
    <mergeCell ref="SPE7:SPG7"/>
    <mergeCell ref="SPH7:SPJ7"/>
    <mergeCell ref="SOG7:SOI7"/>
    <mergeCell ref="SOJ7:SOL7"/>
    <mergeCell ref="SOM7:SOO7"/>
    <mergeCell ref="SOP7:SOR7"/>
    <mergeCell ref="SOS7:SOU7"/>
    <mergeCell ref="SNR7:SNT7"/>
    <mergeCell ref="SNU7:SNW7"/>
    <mergeCell ref="SNX7:SNZ7"/>
    <mergeCell ref="SOA7:SOC7"/>
    <mergeCell ref="SOD7:SOF7"/>
    <mergeCell ref="SNC7:SNE7"/>
    <mergeCell ref="SNF7:SNH7"/>
    <mergeCell ref="SNI7:SNK7"/>
    <mergeCell ref="SNL7:SNN7"/>
    <mergeCell ref="SNO7:SNQ7"/>
    <mergeCell ref="SMN7:SMP7"/>
    <mergeCell ref="SMQ7:SMS7"/>
    <mergeCell ref="SMT7:SMV7"/>
    <mergeCell ref="SMW7:SMY7"/>
    <mergeCell ref="SMZ7:SNB7"/>
    <mergeCell ref="SLY7:SMA7"/>
    <mergeCell ref="SMB7:SMD7"/>
    <mergeCell ref="SME7:SMG7"/>
    <mergeCell ref="SMH7:SMJ7"/>
    <mergeCell ref="SMK7:SMM7"/>
    <mergeCell ref="SLJ7:SLL7"/>
    <mergeCell ref="SLM7:SLO7"/>
    <mergeCell ref="SLP7:SLR7"/>
    <mergeCell ref="SLS7:SLU7"/>
    <mergeCell ref="SLV7:SLX7"/>
    <mergeCell ref="SKU7:SKW7"/>
    <mergeCell ref="SKX7:SKZ7"/>
    <mergeCell ref="SLA7:SLC7"/>
    <mergeCell ref="SLD7:SLF7"/>
    <mergeCell ref="SLG7:SLI7"/>
    <mergeCell ref="SKF7:SKH7"/>
    <mergeCell ref="SKI7:SKK7"/>
    <mergeCell ref="SKL7:SKN7"/>
    <mergeCell ref="SKO7:SKQ7"/>
    <mergeCell ref="SKR7:SKT7"/>
    <mergeCell ref="SJQ7:SJS7"/>
    <mergeCell ref="SJT7:SJV7"/>
    <mergeCell ref="SJW7:SJY7"/>
    <mergeCell ref="SJZ7:SKB7"/>
    <mergeCell ref="SKC7:SKE7"/>
    <mergeCell ref="SJB7:SJD7"/>
    <mergeCell ref="SJE7:SJG7"/>
    <mergeCell ref="SJH7:SJJ7"/>
    <mergeCell ref="SJK7:SJM7"/>
    <mergeCell ref="SJN7:SJP7"/>
    <mergeCell ref="SIM7:SIO7"/>
    <mergeCell ref="SIP7:SIR7"/>
    <mergeCell ref="SIS7:SIU7"/>
    <mergeCell ref="SIV7:SIX7"/>
    <mergeCell ref="SIY7:SJA7"/>
    <mergeCell ref="SHX7:SHZ7"/>
    <mergeCell ref="SIA7:SIC7"/>
    <mergeCell ref="SID7:SIF7"/>
    <mergeCell ref="SIG7:SII7"/>
    <mergeCell ref="SIJ7:SIL7"/>
    <mergeCell ref="SHI7:SHK7"/>
    <mergeCell ref="SHL7:SHN7"/>
    <mergeCell ref="SHO7:SHQ7"/>
    <mergeCell ref="SHR7:SHT7"/>
    <mergeCell ref="SHU7:SHW7"/>
    <mergeCell ref="SGT7:SGV7"/>
    <mergeCell ref="SGW7:SGY7"/>
    <mergeCell ref="SGZ7:SHB7"/>
    <mergeCell ref="SHC7:SHE7"/>
    <mergeCell ref="SHF7:SHH7"/>
    <mergeCell ref="SGE7:SGG7"/>
    <mergeCell ref="SGH7:SGJ7"/>
    <mergeCell ref="SGK7:SGM7"/>
    <mergeCell ref="SGN7:SGP7"/>
    <mergeCell ref="SGQ7:SGS7"/>
    <mergeCell ref="SFP7:SFR7"/>
    <mergeCell ref="SFS7:SFU7"/>
    <mergeCell ref="SFV7:SFX7"/>
    <mergeCell ref="SFY7:SGA7"/>
    <mergeCell ref="SGB7:SGD7"/>
    <mergeCell ref="SFA7:SFC7"/>
    <mergeCell ref="SFD7:SFF7"/>
    <mergeCell ref="SFG7:SFI7"/>
    <mergeCell ref="SFJ7:SFL7"/>
    <mergeCell ref="SFM7:SFO7"/>
    <mergeCell ref="SEL7:SEN7"/>
    <mergeCell ref="SEO7:SEQ7"/>
    <mergeCell ref="SER7:SET7"/>
    <mergeCell ref="SEU7:SEW7"/>
    <mergeCell ref="SEX7:SEZ7"/>
    <mergeCell ref="SDW7:SDY7"/>
    <mergeCell ref="SDZ7:SEB7"/>
    <mergeCell ref="SEC7:SEE7"/>
    <mergeCell ref="SEF7:SEH7"/>
    <mergeCell ref="SEI7:SEK7"/>
    <mergeCell ref="SDH7:SDJ7"/>
    <mergeCell ref="SDK7:SDM7"/>
    <mergeCell ref="SDN7:SDP7"/>
    <mergeCell ref="SDQ7:SDS7"/>
    <mergeCell ref="SDT7:SDV7"/>
    <mergeCell ref="SCS7:SCU7"/>
    <mergeCell ref="SCV7:SCX7"/>
    <mergeCell ref="SCY7:SDA7"/>
    <mergeCell ref="SDB7:SDD7"/>
    <mergeCell ref="SDE7:SDG7"/>
    <mergeCell ref="SCD7:SCF7"/>
    <mergeCell ref="SCG7:SCI7"/>
    <mergeCell ref="SCJ7:SCL7"/>
    <mergeCell ref="SCM7:SCO7"/>
    <mergeCell ref="SCP7:SCR7"/>
    <mergeCell ref="SBO7:SBQ7"/>
    <mergeCell ref="SBR7:SBT7"/>
    <mergeCell ref="SBU7:SBW7"/>
    <mergeCell ref="SBX7:SBZ7"/>
    <mergeCell ref="SCA7:SCC7"/>
    <mergeCell ref="SAZ7:SBB7"/>
    <mergeCell ref="SBC7:SBE7"/>
    <mergeCell ref="SBF7:SBH7"/>
    <mergeCell ref="SBI7:SBK7"/>
    <mergeCell ref="SBL7:SBN7"/>
    <mergeCell ref="SAK7:SAM7"/>
    <mergeCell ref="SAN7:SAP7"/>
    <mergeCell ref="SAQ7:SAS7"/>
    <mergeCell ref="SAT7:SAV7"/>
    <mergeCell ref="SAW7:SAY7"/>
    <mergeCell ref="RZV7:RZX7"/>
    <mergeCell ref="RZY7:SAA7"/>
    <mergeCell ref="SAB7:SAD7"/>
    <mergeCell ref="SAE7:SAG7"/>
    <mergeCell ref="SAH7:SAJ7"/>
    <mergeCell ref="RZG7:RZI7"/>
    <mergeCell ref="RZJ7:RZL7"/>
    <mergeCell ref="RZM7:RZO7"/>
    <mergeCell ref="RZP7:RZR7"/>
    <mergeCell ref="RZS7:RZU7"/>
    <mergeCell ref="RYR7:RYT7"/>
    <mergeCell ref="RYU7:RYW7"/>
    <mergeCell ref="RYX7:RYZ7"/>
    <mergeCell ref="RZA7:RZC7"/>
    <mergeCell ref="RZD7:RZF7"/>
    <mergeCell ref="RYC7:RYE7"/>
    <mergeCell ref="RYF7:RYH7"/>
    <mergeCell ref="RYI7:RYK7"/>
    <mergeCell ref="RYL7:RYN7"/>
    <mergeCell ref="RYO7:RYQ7"/>
    <mergeCell ref="RXN7:RXP7"/>
    <mergeCell ref="RXQ7:RXS7"/>
    <mergeCell ref="RXT7:RXV7"/>
    <mergeCell ref="RXW7:RXY7"/>
    <mergeCell ref="RXZ7:RYB7"/>
    <mergeCell ref="RWY7:RXA7"/>
    <mergeCell ref="RXB7:RXD7"/>
    <mergeCell ref="RXE7:RXG7"/>
    <mergeCell ref="RXH7:RXJ7"/>
    <mergeCell ref="RXK7:RXM7"/>
    <mergeCell ref="RWJ7:RWL7"/>
    <mergeCell ref="RWM7:RWO7"/>
    <mergeCell ref="RWP7:RWR7"/>
    <mergeCell ref="RWS7:RWU7"/>
    <mergeCell ref="RWV7:RWX7"/>
    <mergeCell ref="RVU7:RVW7"/>
    <mergeCell ref="RVX7:RVZ7"/>
    <mergeCell ref="RWA7:RWC7"/>
    <mergeCell ref="RWD7:RWF7"/>
    <mergeCell ref="RWG7:RWI7"/>
    <mergeCell ref="RVF7:RVH7"/>
    <mergeCell ref="RVI7:RVK7"/>
    <mergeCell ref="RVL7:RVN7"/>
    <mergeCell ref="RVO7:RVQ7"/>
    <mergeCell ref="RVR7:RVT7"/>
    <mergeCell ref="RUQ7:RUS7"/>
    <mergeCell ref="RUT7:RUV7"/>
    <mergeCell ref="RUW7:RUY7"/>
    <mergeCell ref="RUZ7:RVB7"/>
    <mergeCell ref="RVC7:RVE7"/>
    <mergeCell ref="RUB7:RUD7"/>
    <mergeCell ref="RUE7:RUG7"/>
    <mergeCell ref="RUH7:RUJ7"/>
    <mergeCell ref="RUK7:RUM7"/>
    <mergeCell ref="RUN7:RUP7"/>
    <mergeCell ref="RTM7:RTO7"/>
    <mergeCell ref="RTP7:RTR7"/>
    <mergeCell ref="RTS7:RTU7"/>
    <mergeCell ref="RTV7:RTX7"/>
    <mergeCell ref="RTY7:RUA7"/>
    <mergeCell ref="RSX7:RSZ7"/>
    <mergeCell ref="RTA7:RTC7"/>
    <mergeCell ref="RTD7:RTF7"/>
    <mergeCell ref="RTG7:RTI7"/>
    <mergeCell ref="RTJ7:RTL7"/>
    <mergeCell ref="RSI7:RSK7"/>
    <mergeCell ref="RSL7:RSN7"/>
    <mergeCell ref="RSO7:RSQ7"/>
    <mergeCell ref="RSR7:RST7"/>
    <mergeCell ref="RSU7:RSW7"/>
    <mergeCell ref="RRT7:RRV7"/>
    <mergeCell ref="RRW7:RRY7"/>
    <mergeCell ref="RRZ7:RSB7"/>
    <mergeCell ref="RSC7:RSE7"/>
    <mergeCell ref="RSF7:RSH7"/>
    <mergeCell ref="RRE7:RRG7"/>
    <mergeCell ref="RRH7:RRJ7"/>
    <mergeCell ref="RRK7:RRM7"/>
    <mergeCell ref="RRN7:RRP7"/>
    <mergeCell ref="RRQ7:RRS7"/>
    <mergeCell ref="RQP7:RQR7"/>
    <mergeCell ref="RQS7:RQU7"/>
    <mergeCell ref="RQV7:RQX7"/>
    <mergeCell ref="RQY7:RRA7"/>
    <mergeCell ref="RRB7:RRD7"/>
    <mergeCell ref="RQA7:RQC7"/>
    <mergeCell ref="RQD7:RQF7"/>
    <mergeCell ref="RQG7:RQI7"/>
    <mergeCell ref="RQJ7:RQL7"/>
    <mergeCell ref="RQM7:RQO7"/>
    <mergeCell ref="RPL7:RPN7"/>
    <mergeCell ref="RPO7:RPQ7"/>
    <mergeCell ref="RPR7:RPT7"/>
    <mergeCell ref="RPU7:RPW7"/>
    <mergeCell ref="RPX7:RPZ7"/>
    <mergeCell ref="ROW7:ROY7"/>
    <mergeCell ref="ROZ7:RPB7"/>
    <mergeCell ref="RPC7:RPE7"/>
    <mergeCell ref="RPF7:RPH7"/>
    <mergeCell ref="RPI7:RPK7"/>
    <mergeCell ref="ROH7:ROJ7"/>
    <mergeCell ref="ROK7:ROM7"/>
    <mergeCell ref="RON7:ROP7"/>
    <mergeCell ref="ROQ7:ROS7"/>
    <mergeCell ref="ROT7:ROV7"/>
    <mergeCell ref="RNS7:RNU7"/>
    <mergeCell ref="RNV7:RNX7"/>
    <mergeCell ref="RNY7:ROA7"/>
    <mergeCell ref="ROB7:ROD7"/>
    <mergeCell ref="ROE7:ROG7"/>
    <mergeCell ref="RND7:RNF7"/>
    <mergeCell ref="RNG7:RNI7"/>
    <mergeCell ref="RNJ7:RNL7"/>
    <mergeCell ref="RNM7:RNO7"/>
    <mergeCell ref="RNP7:RNR7"/>
    <mergeCell ref="RMO7:RMQ7"/>
    <mergeCell ref="RMR7:RMT7"/>
    <mergeCell ref="RMU7:RMW7"/>
    <mergeCell ref="RMX7:RMZ7"/>
    <mergeCell ref="RNA7:RNC7"/>
    <mergeCell ref="RLZ7:RMB7"/>
    <mergeCell ref="RMC7:RME7"/>
    <mergeCell ref="RMF7:RMH7"/>
    <mergeCell ref="RMI7:RMK7"/>
    <mergeCell ref="RML7:RMN7"/>
    <mergeCell ref="RLK7:RLM7"/>
    <mergeCell ref="RLN7:RLP7"/>
    <mergeCell ref="RLQ7:RLS7"/>
    <mergeCell ref="RLT7:RLV7"/>
    <mergeCell ref="RLW7:RLY7"/>
    <mergeCell ref="RKV7:RKX7"/>
    <mergeCell ref="RKY7:RLA7"/>
    <mergeCell ref="RLB7:RLD7"/>
    <mergeCell ref="RLE7:RLG7"/>
    <mergeCell ref="RLH7:RLJ7"/>
    <mergeCell ref="RKG7:RKI7"/>
    <mergeCell ref="RKJ7:RKL7"/>
    <mergeCell ref="RKM7:RKO7"/>
    <mergeCell ref="RKP7:RKR7"/>
    <mergeCell ref="RKS7:RKU7"/>
    <mergeCell ref="RJR7:RJT7"/>
    <mergeCell ref="RJU7:RJW7"/>
    <mergeCell ref="RJX7:RJZ7"/>
    <mergeCell ref="RKA7:RKC7"/>
    <mergeCell ref="RKD7:RKF7"/>
    <mergeCell ref="RJC7:RJE7"/>
    <mergeCell ref="RJF7:RJH7"/>
    <mergeCell ref="RJI7:RJK7"/>
    <mergeCell ref="RJL7:RJN7"/>
    <mergeCell ref="RJO7:RJQ7"/>
    <mergeCell ref="RIN7:RIP7"/>
    <mergeCell ref="RIQ7:RIS7"/>
    <mergeCell ref="RIT7:RIV7"/>
    <mergeCell ref="RIW7:RIY7"/>
    <mergeCell ref="RIZ7:RJB7"/>
    <mergeCell ref="RHY7:RIA7"/>
    <mergeCell ref="RIB7:RID7"/>
    <mergeCell ref="RIE7:RIG7"/>
    <mergeCell ref="RIH7:RIJ7"/>
    <mergeCell ref="RIK7:RIM7"/>
    <mergeCell ref="RHJ7:RHL7"/>
    <mergeCell ref="RHM7:RHO7"/>
    <mergeCell ref="RHP7:RHR7"/>
    <mergeCell ref="RHS7:RHU7"/>
    <mergeCell ref="RHV7:RHX7"/>
    <mergeCell ref="RGU7:RGW7"/>
    <mergeCell ref="RGX7:RGZ7"/>
    <mergeCell ref="RHA7:RHC7"/>
    <mergeCell ref="RHD7:RHF7"/>
    <mergeCell ref="RHG7:RHI7"/>
    <mergeCell ref="RGF7:RGH7"/>
    <mergeCell ref="RGI7:RGK7"/>
    <mergeCell ref="RGL7:RGN7"/>
    <mergeCell ref="RGO7:RGQ7"/>
    <mergeCell ref="RGR7:RGT7"/>
    <mergeCell ref="RFQ7:RFS7"/>
    <mergeCell ref="RFT7:RFV7"/>
    <mergeCell ref="RFW7:RFY7"/>
    <mergeCell ref="RFZ7:RGB7"/>
    <mergeCell ref="RGC7:RGE7"/>
    <mergeCell ref="RFB7:RFD7"/>
    <mergeCell ref="RFE7:RFG7"/>
    <mergeCell ref="RFH7:RFJ7"/>
    <mergeCell ref="RFK7:RFM7"/>
    <mergeCell ref="RFN7:RFP7"/>
    <mergeCell ref="REM7:REO7"/>
    <mergeCell ref="REP7:RER7"/>
    <mergeCell ref="RES7:REU7"/>
    <mergeCell ref="REV7:REX7"/>
    <mergeCell ref="REY7:RFA7"/>
    <mergeCell ref="RDX7:RDZ7"/>
    <mergeCell ref="REA7:REC7"/>
    <mergeCell ref="RED7:REF7"/>
    <mergeCell ref="REG7:REI7"/>
    <mergeCell ref="REJ7:REL7"/>
    <mergeCell ref="RDI7:RDK7"/>
    <mergeCell ref="RDL7:RDN7"/>
    <mergeCell ref="RDO7:RDQ7"/>
    <mergeCell ref="RDR7:RDT7"/>
    <mergeCell ref="RDU7:RDW7"/>
    <mergeCell ref="RCT7:RCV7"/>
    <mergeCell ref="RCW7:RCY7"/>
    <mergeCell ref="RCZ7:RDB7"/>
    <mergeCell ref="RDC7:RDE7"/>
    <mergeCell ref="RDF7:RDH7"/>
    <mergeCell ref="RCE7:RCG7"/>
    <mergeCell ref="RCH7:RCJ7"/>
    <mergeCell ref="RCK7:RCM7"/>
    <mergeCell ref="RCN7:RCP7"/>
    <mergeCell ref="RCQ7:RCS7"/>
    <mergeCell ref="RBP7:RBR7"/>
    <mergeCell ref="RBS7:RBU7"/>
    <mergeCell ref="RBV7:RBX7"/>
    <mergeCell ref="RBY7:RCA7"/>
    <mergeCell ref="RCB7:RCD7"/>
    <mergeCell ref="RBA7:RBC7"/>
    <mergeCell ref="RBD7:RBF7"/>
    <mergeCell ref="RBG7:RBI7"/>
    <mergeCell ref="RBJ7:RBL7"/>
    <mergeCell ref="RBM7:RBO7"/>
    <mergeCell ref="RAL7:RAN7"/>
    <mergeCell ref="RAO7:RAQ7"/>
    <mergeCell ref="RAR7:RAT7"/>
    <mergeCell ref="RAU7:RAW7"/>
    <mergeCell ref="RAX7:RAZ7"/>
    <mergeCell ref="QZW7:QZY7"/>
    <mergeCell ref="QZZ7:RAB7"/>
    <mergeCell ref="RAC7:RAE7"/>
    <mergeCell ref="RAF7:RAH7"/>
    <mergeCell ref="RAI7:RAK7"/>
    <mergeCell ref="QZH7:QZJ7"/>
    <mergeCell ref="QZK7:QZM7"/>
    <mergeCell ref="QZN7:QZP7"/>
    <mergeCell ref="QZQ7:QZS7"/>
    <mergeCell ref="QZT7:QZV7"/>
    <mergeCell ref="QYS7:QYU7"/>
    <mergeCell ref="QYV7:QYX7"/>
    <mergeCell ref="QYY7:QZA7"/>
    <mergeCell ref="QZB7:QZD7"/>
    <mergeCell ref="QZE7:QZG7"/>
    <mergeCell ref="QYD7:QYF7"/>
    <mergeCell ref="QYG7:QYI7"/>
    <mergeCell ref="QYJ7:QYL7"/>
    <mergeCell ref="QYM7:QYO7"/>
    <mergeCell ref="QYP7:QYR7"/>
    <mergeCell ref="QXO7:QXQ7"/>
    <mergeCell ref="QXR7:QXT7"/>
    <mergeCell ref="QXU7:QXW7"/>
    <mergeCell ref="QXX7:QXZ7"/>
    <mergeCell ref="QYA7:QYC7"/>
    <mergeCell ref="QWZ7:QXB7"/>
    <mergeCell ref="QXC7:QXE7"/>
    <mergeCell ref="QXF7:QXH7"/>
    <mergeCell ref="QXI7:QXK7"/>
    <mergeCell ref="QXL7:QXN7"/>
    <mergeCell ref="QWK7:QWM7"/>
    <mergeCell ref="QWN7:QWP7"/>
    <mergeCell ref="QWQ7:QWS7"/>
    <mergeCell ref="QWT7:QWV7"/>
    <mergeCell ref="QWW7:QWY7"/>
    <mergeCell ref="QVV7:QVX7"/>
    <mergeCell ref="QVY7:QWA7"/>
    <mergeCell ref="QWB7:QWD7"/>
    <mergeCell ref="QWE7:QWG7"/>
    <mergeCell ref="QWH7:QWJ7"/>
    <mergeCell ref="QVG7:QVI7"/>
    <mergeCell ref="QVJ7:QVL7"/>
    <mergeCell ref="QVM7:QVO7"/>
    <mergeCell ref="QVP7:QVR7"/>
    <mergeCell ref="QVS7:QVU7"/>
    <mergeCell ref="QUR7:QUT7"/>
    <mergeCell ref="QUU7:QUW7"/>
    <mergeCell ref="QUX7:QUZ7"/>
    <mergeCell ref="QVA7:QVC7"/>
    <mergeCell ref="QVD7:QVF7"/>
    <mergeCell ref="QUC7:QUE7"/>
    <mergeCell ref="QUF7:QUH7"/>
    <mergeCell ref="QUI7:QUK7"/>
    <mergeCell ref="QUL7:QUN7"/>
    <mergeCell ref="QUO7:QUQ7"/>
    <mergeCell ref="QTN7:QTP7"/>
    <mergeCell ref="QTQ7:QTS7"/>
    <mergeCell ref="QTT7:QTV7"/>
    <mergeCell ref="QTW7:QTY7"/>
    <mergeCell ref="QTZ7:QUB7"/>
    <mergeCell ref="QSY7:QTA7"/>
    <mergeCell ref="QTB7:QTD7"/>
    <mergeCell ref="QTE7:QTG7"/>
    <mergeCell ref="QTH7:QTJ7"/>
    <mergeCell ref="QTK7:QTM7"/>
    <mergeCell ref="QSJ7:QSL7"/>
    <mergeCell ref="QSM7:QSO7"/>
    <mergeCell ref="QSP7:QSR7"/>
    <mergeCell ref="QSS7:QSU7"/>
    <mergeCell ref="QSV7:QSX7"/>
    <mergeCell ref="QRU7:QRW7"/>
    <mergeCell ref="QRX7:QRZ7"/>
    <mergeCell ref="QSA7:QSC7"/>
    <mergeCell ref="QSD7:QSF7"/>
    <mergeCell ref="QSG7:QSI7"/>
    <mergeCell ref="QRF7:QRH7"/>
    <mergeCell ref="QRI7:QRK7"/>
    <mergeCell ref="QRL7:QRN7"/>
    <mergeCell ref="QRO7:QRQ7"/>
    <mergeCell ref="QRR7:QRT7"/>
    <mergeCell ref="QQQ7:QQS7"/>
    <mergeCell ref="QQT7:QQV7"/>
    <mergeCell ref="QQW7:QQY7"/>
    <mergeCell ref="QQZ7:QRB7"/>
    <mergeCell ref="QRC7:QRE7"/>
    <mergeCell ref="QQB7:QQD7"/>
    <mergeCell ref="QQE7:QQG7"/>
    <mergeCell ref="QQH7:QQJ7"/>
    <mergeCell ref="QQK7:QQM7"/>
    <mergeCell ref="QQN7:QQP7"/>
    <mergeCell ref="QPM7:QPO7"/>
    <mergeCell ref="QPP7:QPR7"/>
    <mergeCell ref="QPS7:QPU7"/>
    <mergeCell ref="QPV7:QPX7"/>
    <mergeCell ref="QPY7:QQA7"/>
    <mergeCell ref="QOX7:QOZ7"/>
    <mergeCell ref="QPA7:QPC7"/>
    <mergeCell ref="QPD7:QPF7"/>
    <mergeCell ref="QPG7:QPI7"/>
    <mergeCell ref="QPJ7:QPL7"/>
    <mergeCell ref="QOI7:QOK7"/>
    <mergeCell ref="QOL7:QON7"/>
    <mergeCell ref="QOO7:QOQ7"/>
    <mergeCell ref="QOR7:QOT7"/>
    <mergeCell ref="QOU7:QOW7"/>
    <mergeCell ref="QNT7:QNV7"/>
    <mergeCell ref="QNW7:QNY7"/>
    <mergeCell ref="QNZ7:QOB7"/>
    <mergeCell ref="QOC7:QOE7"/>
    <mergeCell ref="QOF7:QOH7"/>
    <mergeCell ref="QNE7:QNG7"/>
    <mergeCell ref="QNH7:QNJ7"/>
    <mergeCell ref="QNK7:QNM7"/>
    <mergeCell ref="QNN7:QNP7"/>
    <mergeCell ref="QNQ7:QNS7"/>
    <mergeCell ref="QMP7:QMR7"/>
    <mergeCell ref="QMS7:QMU7"/>
    <mergeCell ref="QMV7:QMX7"/>
    <mergeCell ref="QMY7:QNA7"/>
    <mergeCell ref="QNB7:QND7"/>
    <mergeCell ref="QMA7:QMC7"/>
    <mergeCell ref="QMD7:QMF7"/>
    <mergeCell ref="QMG7:QMI7"/>
    <mergeCell ref="QMJ7:QML7"/>
    <mergeCell ref="QMM7:QMO7"/>
    <mergeCell ref="QLL7:QLN7"/>
    <mergeCell ref="QLO7:QLQ7"/>
    <mergeCell ref="QLR7:QLT7"/>
    <mergeCell ref="QLU7:QLW7"/>
    <mergeCell ref="QLX7:QLZ7"/>
    <mergeCell ref="QKW7:QKY7"/>
    <mergeCell ref="QKZ7:QLB7"/>
    <mergeCell ref="QLC7:QLE7"/>
    <mergeCell ref="QLF7:QLH7"/>
    <mergeCell ref="QLI7:QLK7"/>
    <mergeCell ref="QKH7:QKJ7"/>
    <mergeCell ref="QKK7:QKM7"/>
    <mergeCell ref="QKN7:QKP7"/>
    <mergeCell ref="QKQ7:QKS7"/>
    <mergeCell ref="QKT7:QKV7"/>
    <mergeCell ref="QJS7:QJU7"/>
    <mergeCell ref="QJV7:QJX7"/>
    <mergeCell ref="QJY7:QKA7"/>
    <mergeCell ref="QKB7:QKD7"/>
    <mergeCell ref="QKE7:QKG7"/>
    <mergeCell ref="QJD7:QJF7"/>
    <mergeCell ref="QJG7:QJI7"/>
    <mergeCell ref="QJJ7:QJL7"/>
    <mergeCell ref="QJM7:QJO7"/>
    <mergeCell ref="QJP7:QJR7"/>
    <mergeCell ref="QIO7:QIQ7"/>
    <mergeCell ref="QIR7:QIT7"/>
    <mergeCell ref="QIU7:QIW7"/>
    <mergeCell ref="QIX7:QIZ7"/>
    <mergeCell ref="QJA7:QJC7"/>
    <mergeCell ref="QHZ7:QIB7"/>
    <mergeCell ref="QIC7:QIE7"/>
    <mergeCell ref="QIF7:QIH7"/>
    <mergeCell ref="QII7:QIK7"/>
    <mergeCell ref="QIL7:QIN7"/>
    <mergeCell ref="QHK7:QHM7"/>
    <mergeCell ref="QHN7:QHP7"/>
    <mergeCell ref="QHQ7:QHS7"/>
    <mergeCell ref="QHT7:QHV7"/>
    <mergeCell ref="QHW7:QHY7"/>
    <mergeCell ref="QGV7:QGX7"/>
    <mergeCell ref="QGY7:QHA7"/>
    <mergeCell ref="QHB7:QHD7"/>
    <mergeCell ref="QHE7:QHG7"/>
    <mergeCell ref="QHH7:QHJ7"/>
    <mergeCell ref="QGG7:QGI7"/>
    <mergeCell ref="QGJ7:QGL7"/>
    <mergeCell ref="QGM7:QGO7"/>
    <mergeCell ref="QGP7:QGR7"/>
    <mergeCell ref="QGS7:QGU7"/>
    <mergeCell ref="QFR7:QFT7"/>
    <mergeCell ref="QFU7:QFW7"/>
    <mergeCell ref="QFX7:QFZ7"/>
    <mergeCell ref="QGA7:QGC7"/>
    <mergeCell ref="QGD7:QGF7"/>
    <mergeCell ref="QFC7:QFE7"/>
    <mergeCell ref="QFF7:QFH7"/>
    <mergeCell ref="QFI7:QFK7"/>
    <mergeCell ref="QFL7:QFN7"/>
    <mergeCell ref="QFO7:QFQ7"/>
    <mergeCell ref="QEN7:QEP7"/>
    <mergeCell ref="QEQ7:QES7"/>
    <mergeCell ref="QET7:QEV7"/>
    <mergeCell ref="QEW7:QEY7"/>
    <mergeCell ref="QEZ7:QFB7"/>
    <mergeCell ref="QDY7:QEA7"/>
    <mergeCell ref="QEB7:QED7"/>
    <mergeCell ref="QEE7:QEG7"/>
    <mergeCell ref="QEH7:QEJ7"/>
    <mergeCell ref="QEK7:QEM7"/>
    <mergeCell ref="QDJ7:QDL7"/>
    <mergeCell ref="QDM7:QDO7"/>
    <mergeCell ref="QDP7:QDR7"/>
    <mergeCell ref="QDS7:QDU7"/>
    <mergeCell ref="QDV7:QDX7"/>
    <mergeCell ref="QCU7:QCW7"/>
    <mergeCell ref="QCX7:QCZ7"/>
    <mergeCell ref="QDA7:QDC7"/>
    <mergeCell ref="QDD7:QDF7"/>
    <mergeCell ref="QDG7:QDI7"/>
    <mergeCell ref="QCF7:QCH7"/>
    <mergeCell ref="QCI7:QCK7"/>
    <mergeCell ref="QCL7:QCN7"/>
    <mergeCell ref="QCO7:QCQ7"/>
    <mergeCell ref="QCR7:QCT7"/>
    <mergeCell ref="QBQ7:QBS7"/>
    <mergeCell ref="QBT7:QBV7"/>
    <mergeCell ref="QBW7:QBY7"/>
    <mergeCell ref="QBZ7:QCB7"/>
    <mergeCell ref="QCC7:QCE7"/>
    <mergeCell ref="QBB7:QBD7"/>
    <mergeCell ref="QBE7:QBG7"/>
    <mergeCell ref="QBH7:QBJ7"/>
    <mergeCell ref="QBK7:QBM7"/>
    <mergeCell ref="QBN7:QBP7"/>
    <mergeCell ref="QAM7:QAO7"/>
    <mergeCell ref="QAP7:QAR7"/>
    <mergeCell ref="QAS7:QAU7"/>
    <mergeCell ref="QAV7:QAX7"/>
    <mergeCell ref="QAY7:QBA7"/>
    <mergeCell ref="PZX7:PZZ7"/>
    <mergeCell ref="QAA7:QAC7"/>
    <mergeCell ref="QAD7:QAF7"/>
    <mergeCell ref="QAG7:QAI7"/>
    <mergeCell ref="QAJ7:QAL7"/>
    <mergeCell ref="PZI7:PZK7"/>
    <mergeCell ref="PZL7:PZN7"/>
    <mergeCell ref="PZO7:PZQ7"/>
    <mergeCell ref="PZR7:PZT7"/>
    <mergeCell ref="PZU7:PZW7"/>
    <mergeCell ref="PYT7:PYV7"/>
    <mergeCell ref="PYW7:PYY7"/>
    <mergeCell ref="PYZ7:PZB7"/>
    <mergeCell ref="PZC7:PZE7"/>
    <mergeCell ref="PZF7:PZH7"/>
    <mergeCell ref="PYE7:PYG7"/>
    <mergeCell ref="PYH7:PYJ7"/>
    <mergeCell ref="PYK7:PYM7"/>
    <mergeCell ref="PYN7:PYP7"/>
    <mergeCell ref="PYQ7:PYS7"/>
    <mergeCell ref="PXP7:PXR7"/>
    <mergeCell ref="PXS7:PXU7"/>
    <mergeCell ref="PXV7:PXX7"/>
    <mergeCell ref="PXY7:PYA7"/>
    <mergeCell ref="PYB7:PYD7"/>
    <mergeCell ref="PXA7:PXC7"/>
    <mergeCell ref="PXD7:PXF7"/>
    <mergeCell ref="PXG7:PXI7"/>
    <mergeCell ref="PXJ7:PXL7"/>
    <mergeCell ref="PXM7:PXO7"/>
    <mergeCell ref="PWL7:PWN7"/>
    <mergeCell ref="PWO7:PWQ7"/>
    <mergeCell ref="PWR7:PWT7"/>
    <mergeCell ref="PWU7:PWW7"/>
    <mergeCell ref="PWX7:PWZ7"/>
    <mergeCell ref="PVW7:PVY7"/>
    <mergeCell ref="PVZ7:PWB7"/>
    <mergeCell ref="PWC7:PWE7"/>
    <mergeCell ref="PWF7:PWH7"/>
    <mergeCell ref="PWI7:PWK7"/>
    <mergeCell ref="PVH7:PVJ7"/>
    <mergeCell ref="PVK7:PVM7"/>
    <mergeCell ref="PVN7:PVP7"/>
    <mergeCell ref="PVQ7:PVS7"/>
    <mergeCell ref="PVT7:PVV7"/>
    <mergeCell ref="PUS7:PUU7"/>
    <mergeCell ref="PUV7:PUX7"/>
    <mergeCell ref="PUY7:PVA7"/>
    <mergeCell ref="PVB7:PVD7"/>
    <mergeCell ref="PVE7:PVG7"/>
    <mergeCell ref="PUD7:PUF7"/>
    <mergeCell ref="PUG7:PUI7"/>
    <mergeCell ref="PUJ7:PUL7"/>
    <mergeCell ref="PUM7:PUO7"/>
    <mergeCell ref="PUP7:PUR7"/>
    <mergeCell ref="PTO7:PTQ7"/>
    <mergeCell ref="PTR7:PTT7"/>
    <mergeCell ref="PTU7:PTW7"/>
    <mergeCell ref="PTX7:PTZ7"/>
    <mergeCell ref="PUA7:PUC7"/>
    <mergeCell ref="PSZ7:PTB7"/>
    <mergeCell ref="PTC7:PTE7"/>
    <mergeCell ref="PTF7:PTH7"/>
    <mergeCell ref="PTI7:PTK7"/>
    <mergeCell ref="PTL7:PTN7"/>
    <mergeCell ref="PSK7:PSM7"/>
    <mergeCell ref="PSN7:PSP7"/>
    <mergeCell ref="PSQ7:PSS7"/>
    <mergeCell ref="PST7:PSV7"/>
    <mergeCell ref="PSW7:PSY7"/>
    <mergeCell ref="PRV7:PRX7"/>
    <mergeCell ref="PRY7:PSA7"/>
    <mergeCell ref="PSB7:PSD7"/>
    <mergeCell ref="PSE7:PSG7"/>
    <mergeCell ref="PSH7:PSJ7"/>
    <mergeCell ref="PRG7:PRI7"/>
    <mergeCell ref="PRJ7:PRL7"/>
    <mergeCell ref="PRM7:PRO7"/>
    <mergeCell ref="PRP7:PRR7"/>
    <mergeCell ref="PRS7:PRU7"/>
    <mergeCell ref="PQR7:PQT7"/>
    <mergeCell ref="PQU7:PQW7"/>
    <mergeCell ref="PQX7:PQZ7"/>
    <mergeCell ref="PRA7:PRC7"/>
    <mergeCell ref="PRD7:PRF7"/>
    <mergeCell ref="PQC7:PQE7"/>
    <mergeCell ref="PQF7:PQH7"/>
    <mergeCell ref="PQI7:PQK7"/>
    <mergeCell ref="PQL7:PQN7"/>
    <mergeCell ref="PQO7:PQQ7"/>
    <mergeCell ref="PPN7:PPP7"/>
    <mergeCell ref="PPQ7:PPS7"/>
    <mergeCell ref="PPT7:PPV7"/>
    <mergeCell ref="PPW7:PPY7"/>
    <mergeCell ref="PPZ7:PQB7"/>
    <mergeCell ref="POY7:PPA7"/>
    <mergeCell ref="PPB7:PPD7"/>
    <mergeCell ref="PPE7:PPG7"/>
    <mergeCell ref="PPH7:PPJ7"/>
    <mergeCell ref="PPK7:PPM7"/>
    <mergeCell ref="POJ7:POL7"/>
    <mergeCell ref="POM7:POO7"/>
    <mergeCell ref="POP7:POR7"/>
    <mergeCell ref="POS7:POU7"/>
    <mergeCell ref="POV7:POX7"/>
    <mergeCell ref="PNU7:PNW7"/>
    <mergeCell ref="PNX7:PNZ7"/>
    <mergeCell ref="POA7:POC7"/>
    <mergeCell ref="POD7:POF7"/>
    <mergeCell ref="POG7:POI7"/>
    <mergeCell ref="PNF7:PNH7"/>
    <mergeCell ref="PNI7:PNK7"/>
    <mergeCell ref="PNL7:PNN7"/>
    <mergeCell ref="PNO7:PNQ7"/>
    <mergeCell ref="PNR7:PNT7"/>
    <mergeCell ref="PMQ7:PMS7"/>
    <mergeCell ref="PMT7:PMV7"/>
    <mergeCell ref="PMW7:PMY7"/>
    <mergeCell ref="PMZ7:PNB7"/>
    <mergeCell ref="PNC7:PNE7"/>
    <mergeCell ref="PMB7:PMD7"/>
    <mergeCell ref="PME7:PMG7"/>
    <mergeCell ref="PMH7:PMJ7"/>
    <mergeCell ref="PMK7:PMM7"/>
    <mergeCell ref="PMN7:PMP7"/>
    <mergeCell ref="PLM7:PLO7"/>
    <mergeCell ref="PLP7:PLR7"/>
    <mergeCell ref="PLS7:PLU7"/>
    <mergeCell ref="PLV7:PLX7"/>
    <mergeCell ref="PLY7:PMA7"/>
    <mergeCell ref="PKX7:PKZ7"/>
    <mergeCell ref="PLA7:PLC7"/>
    <mergeCell ref="PLD7:PLF7"/>
    <mergeCell ref="PLG7:PLI7"/>
    <mergeCell ref="PLJ7:PLL7"/>
    <mergeCell ref="PKI7:PKK7"/>
    <mergeCell ref="PKL7:PKN7"/>
    <mergeCell ref="PKO7:PKQ7"/>
    <mergeCell ref="PKR7:PKT7"/>
    <mergeCell ref="PKU7:PKW7"/>
    <mergeCell ref="PJT7:PJV7"/>
    <mergeCell ref="PJW7:PJY7"/>
    <mergeCell ref="PJZ7:PKB7"/>
    <mergeCell ref="PKC7:PKE7"/>
    <mergeCell ref="PKF7:PKH7"/>
    <mergeCell ref="PJE7:PJG7"/>
    <mergeCell ref="PJH7:PJJ7"/>
    <mergeCell ref="PJK7:PJM7"/>
    <mergeCell ref="PJN7:PJP7"/>
    <mergeCell ref="PJQ7:PJS7"/>
    <mergeCell ref="PIP7:PIR7"/>
    <mergeCell ref="PIS7:PIU7"/>
    <mergeCell ref="PIV7:PIX7"/>
    <mergeCell ref="PIY7:PJA7"/>
    <mergeCell ref="PJB7:PJD7"/>
    <mergeCell ref="PIA7:PIC7"/>
    <mergeCell ref="PID7:PIF7"/>
    <mergeCell ref="PIG7:PII7"/>
    <mergeCell ref="PIJ7:PIL7"/>
    <mergeCell ref="PIM7:PIO7"/>
    <mergeCell ref="PHL7:PHN7"/>
    <mergeCell ref="PHO7:PHQ7"/>
    <mergeCell ref="PHR7:PHT7"/>
    <mergeCell ref="PHU7:PHW7"/>
    <mergeCell ref="PHX7:PHZ7"/>
    <mergeCell ref="PGW7:PGY7"/>
    <mergeCell ref="PGZ7:PHB7"/>
    <mergeCell ref="PHC7:PHE7"/>
    <mergeCell ref="PHF7:PHH7"/>
    <mergeCell ref="PHI7:PHK7"/>
    <mergeCell ref="PGH7:PGJ7"/>
    <mergeCell ref="PGK7:PGM7"/>
    <mergeCell ref="PGN7:PGP7"/>
    <mergeCell ref="PGQ7:PGS7"/>
    <mergeCell ref="PGT7:PGV7"/>
    <mergeCell ref="PFS7:PFU7"/>
    <mergeCell ref="PFV7:PFX7"/>
    <mergeCell ref="PFY7:PGA7"/>
    <mergeCell ref="PGB7:PGD7"/>
    <mergeCell ref="PGE7:PGG7"/>
    <mergeCell ref="PFD7:PFF7"/>
    <mergeCell ref="PFG7:PFI7"/>
    <mergeCell ref="PFJ7:PFL7"/>
    <mergeCell ref="PFM7:PFO7"/>
    <mergeCell ref="PFP7:PFR7"/>
    <mergeCell ref="PEO7:PEQ7"/>
    <mergeCell ref="PER7:PET7"/>
    <mergeCell ref="PEU7:PEW7"/>
    <mergeCell ref="PEX7:PEZ7"/>
    <mergeCell ref="PFA7:PFC7"/>
    <mergeCell ref="PDZ7:PEB7"/>
    <mergeCell ref="PEC7:PEE7"/>
    <mergeCell ref="PEF7:PEH7"/>
    <mergeCell ref="PEI7:PEK7"/>
    <mergeCell ref="PEL7:PEN7"/>
    <mergeCell ref="PDK7:PDM7"/>
    <mergeCell ref="PDN7:PDP7"/>
    <mergeCell ref="PDQ7:PDS7"/>
    <mergeCell ref="PDT7:PDV7"/>
    <mergeCell ref="PDW7:PDY7"/>
    <mergeCell ref="PCV7:PCX7"/>
    <mergeCell ref="PCY7:PDA7"/>
    <mergeCell ref="PDB7:PDD7"/>
    <mergeCell ref="PDE7:PDG7"/>
    <mergeCell ref="PDH7:PDJ7"/>
    <mergeCell ref="PCG7:PCI7"/>
    <mergeCell ref="PCJ7:PCL7"/>
    <mergeCell ref="PCM7:PCO7"/>
    <mergeCell ref="PCP7:PCR7"/>
    <mergeCell ref="PCS7:PCU7"/>
    <mergeCell ref="PBR7:PBT7"/>
    <mergeCell ref="PBU7:PBW7"/>
    <mergeCell ref="PBX7:PBZ7"/>
    <mergeCell ref="PCA7:PCC7"/>
    <mergeCell ref="PCD7:PCF7"/>
    <mergeCell ref="PBC7:PBE7"/>
    <mergeCell ref="PBF7:PBH7"/>
    <mergeCell ref="PBI7:PBK7"/>
    <mergeCell ref="PBL7:PBN7"/>
    <mergeCell ref="PBO7:PBQ7"/>
    <mergeCell ref="PAN7:PAP7"/>
    <mergeCell ref="PAQ7:PAS7"/>
    <mergeCell ref="PAT7:PAV7"/>
    <mergeCell ref="PAW7:PAY7"/>
    <mergeCell ref="PAZ7:PBB7"/>
    <mergeCell ref="OZY7:PAA7"/>
    <mergeCell ref="PAB7:PAD7"/>
    <mergeCell ref="PAE7:PAG7"/>
    <mergeCell ref="PAH7:PAJ7"/>
    <mergeCell ref="PAK7:PAM7"/>
    <mergeCell ref="OZJ7:OZL7"/>
    <mergeCell ref="OZM7:OZO7"/>
    <mergeCell ref="OZP7:OZR7"/>
    <mergeCell ref="OZS7:OZU7"/>
    <mergeCell ref="OZV7:OZX7"/>
    <mergeCell ref="OYU7:OYW7"/>
    <mergeCell ref="OYX7:OYZ7"/>
    <mergeCell ref="OZA7:OZC7"/>
    <mergeCell ref="OZD7:OZF7"/>
    <mergeCell ref="OZG7:OZI7"/>
    <mergeCell ref="OYF7:OYH7"/>
    <mergeCell ref="OYI7:OYK7"/>
    <mergeCell ref="OYL7:OYN7"/>
    <mergeCell ref="OYO7:OYQ7"/>
    <mergeCell ref="OYR7:OYT7"/>
    <mergeCell ref="OXQ7:OXS7"/>
    <mergeCell ref="OXT7:OXV7"/>
    <mergeCell ref="OXW7:OXY7"/>
    <mergeCell ref="OXZ7:OYB7"/>
    <mergeCell ref="OYC7:OYE7"/>
    <mergeCell ref="OXB7:OXD7"/>
    <mergeCell ref="OXE7:OXG7"/>
    <mergeCell ref="OXH7:OXJ7"/>
    <mergeCell ref="OXK7:OXM7"/>
    <mergeCell ref="OXN7:OXP7"/>
    <mergeCell ref="OWM7:OWO7"/>
    <mergeCell ref="OWP7:OWR7"/>
    <mergeCell ref="OWS7:OWU7"/>
    <mergeCell ref="OWV7:OWX7"/>
    <mergeCell ref="OWY7:OXA7"/>
    <mergeCell ref="OVX7:OVZ7"/>
    <mergeCell ref="OWA7:OWC7"/>
    <mergeCell ref="OWD7:OWF7"/>
    <mergeCell ref="OWG7:OWI7"/>
    <mergeCell ref="OWJ7:OWL7"/>
    <mergeCell ref="OVI7:OVK7"/>
    <mergeCell ref="OVL7:OVN7"/>
    <mergeCell ref="OVO7:OVQ7"/>
    <mergeCell ref="OVR7:OVT7"/>
    <mergeCell ref="OVU7:OVW7"/>
    <mergeCell ref="OUT7:OUV7"/>
    <mergeCell ref="OUW7:OUY7"/>
    <mergeCell ref="OUZ7:OVB7"/>
    <mergeCell ref="OVC7:OVE7"/>
    <mergeCell ref="OVF7:OVH7"/>
    <mergeCell ref="OUE7:OUG7"/>
    <mergeCell ref="OUH7:OUJ7"/>
    <mergeCell ref="OUK7:OUM7"/>
    <mergeCell ref="OUN7:OUP7"/>
    <mergeCell ref="OUQ7:OUS7"/>
    <mergeCell ref="OTP7:OTR7"/>
    <mergeCell ref="OTS7:OTU7"/>
    <mergeCell ref="OTV7:OTX7"/>
    <mergeCell ref="OTY7:OUA7"/>
    <mergeCell ref="OUB7:OUD7"/>
    <mergeCell ref="OTA7:OTC7"/>
    <mergeCell ref="OTD7:OTF7"/>
    <mergeCell ref="OTG7:OTI7"/>
    <mergeCell ref="OTJ7:OTL7"/>
    <mergeCell ref="OTM7:OTO7"/>
    <mergeCell ref="OSL7:OSN7"/>
    <mergeCell ref="OSO7:OSQ7"/>
    <mergeCell ref="OSR7:OST7"/>
    <mergeCell ref="OSU7:OSW7"/>
    <mergeCell ref="OSX7:OSZ7"/>
    <mergeCell ref="ORW7:ORY7"/>
    <mergeCell ref="ORZ7:OSB7"/>
    <mergeCell ref="OSC7:OSE7"/>
    <mergeCell ref="OSF7:OSH7"/>
    <mergeCell ref="OSI7:OSK7"/>
    <mergeCell ref="ORH7:ORJ7"/>
    <mergeCell ref="ORK7:ORM7"/>
    <mergeCell ref="ORN7:ORP7"/>
    <mergeCell ref="ORQ7:ORS7"/>
    <mergeCell ref="ORT7:ORV7"/>
    <mergeCell ref="OQS7:OQU7"/>
    <mergeCell ref="OQV7:OQX7"/>
    <mergeCell ref="OQY7:ORA7"/>
    <mergeCell ref="ORB7:ORD7"/>
    <mergeCell ref="ORE7:ORG7"/>
    <mergeCell ref="OQD7:OQF7"/>
    <mergeCell ref="OQG7:OQI7"/>
    <mergeCell ref="OQJ7:OQL7"/>
    <mergeCell ref="OQM7:OQO7"/>
    <mergeCell ref="OQP7:OQR7"/>
    <mergeCell ref="OPO7:OPQ7"/>
    <mergeCell ref="OPR7:OPT7"/>
    <mergeCell ref="OPU7:OPW7"/>
    <mergeCell ref="OPX7:OPZ7"/>
    <mergeCell ref="OQA7:OQC7"/>
    <mergeCell ref="OOZ7:OPB7"/>
    <mergeCell ref="OPC7:OPE7"/>
    <mergeCell ref="OPF7:OPH7"/>
    <mergeCell ref="OPI7:OPK7"/>
    <mergeCell ref="OPL7:OPN7"/>
    <mergeCell ref="OOK7:OOM7"/>
    <mergeCell ref="OON7:OOP7"/>
    <mergeCell ref="OOQ7:OOS7"/>
    <mergeCell ref="OOT7:OOV7"/>
    <mergeCell ref="OOW7:OOY7"/>
    <mergeCell ref="ONV7:ONX7"/>
    <mergeCell ref="ONY7:OOA7"/>
    <mergeCell ref="OOB7:OOD7"/>
    <mergeCell ref="OOE7:OOG7"/>
    <mergeCell ref="OOH7:OOJ7"/>
    <mergeCell ref="ONG7:ONI7"/>
    <mergeCell ref="ONJ7:ONL7"/>
    <mergeCell ref="ONM7:ONO7"/>
    <mergeCell ref="ONP7:ONR7"/>
    <mergeCell ref="ONS7:ONU7"/>
    <mergeCell ref="OMR7:OMT7"/>
    <mergeCell ref="OMU7:OMW7"/>
    <mergeCell ref="OMX7:OMZ7"/>
    <mergeCell ref="ONA7:ONC7"/>
    <mergeCell ref="OND7:ONF7"/>
    <mergeCell ref="OMC7:OME7"/>
    <mergeCell ref="OMF7:OMH7"/>
    <mergeCell ref="OMI7:OMK7"/>
    <mergeCell ref="OML7:OMN7"/>
    <mergeCell ref="OMO7:OMQ7"/>
    <mergeCell ref="OLN7:OLP7"/>
    <mergeCell ref="OLQ7:OLS7"/>
    <mergeCell ref="OLT7:OLV7"/>
    <mergeCell ref="OLW7:OLY7"/>
    <mergeCell ref="OLZ7:OMB7"/>
    <mergeCell ref="OKY7:OLA7"/>
    <mergeCell ref="OLB7:OLD7"/>
    <mergeCell ref="OLE7:OLG7"/>
    <mergeCell ref="OLH7:OLJ7"/>
    <mergeCell ref="OLK7:OLM7"/>
    <mergeCell ref="OKJ7:OKL7"/>
    <mergeCell ref="OKM7:OKO7"/>
    <mergeCell ref="OKP7:OKR7"/>
    <mergeCell ref="OKS7:OKU7"/>
    <mergeCell ref="OKV7:OKX7"/>
    <mergeCell ref="OJU7:OJW7"/>
    <mergeCell ref="OJX7:OJZ7"/>
    <mergeCell ref="OKA7:OKC7"/>
    <mergeCell ref="OKD7:OKF7"/>
    <mergeCell ref="OKG7:OKI7"/>
    <mergeCell ref="OJF7:OJH7"/>
    <mergeCell ref="OJI7:OJK7"/>
    <mergeCell ref="OJL7:OJN7"/>
    <mergeCell ref="OJO7:OJQ7"/>
    <mergeCell ref="OJR7:OJT7"/>
    <mergeCell ref="OIQ7:OIS7"/>
    <mergeCell ref="OIT7:OIV7"/>
    <mergeCell ref="OIW7:OIY7"/>
    <mergeCell ref="OIZ7:OJB7"/>
    <mergeCell ref="OJC7:OJE7"/>
    <mergeCell ref="OIB7:OID7"/>
    <mergeCell ref="OIE7:OIG7"/>
    <mergeCell ref="OIH7:OIJ7"/>
    <mergeCell ref="OIK7:OIM7"/>
    <mergeCell ref="OIN7:OIP7"/>
    <mergeCell ref="OHM7:OHO7"/>
    <mergeCell ref="OHP7:OHR7"/>
    <mergeCell ref="OHS7:OHU7"/>
    <mergeCell ref="OHV7:OHX7"/>
    <mergeCell ref="OHY7:OIA7"/>
    <mergeCell ref="OGX7:OGZ7"/>
    <mergeCell ref="OHA7:OHC7"/>
    <mergeCell ref="OHD7:OHF7"/>
    <mergeCell ref="OHG7:OHI7"/>
    <mergeCell ref="OHJ7:OHL7"/>
    <mergeCell ref="OGI7:OGK7"/>
    <mergeCell ref="OGL7:OGN7"/>
    <mergeCell ref="OGO7:OGQ7"/>
    <mergeCell ref="OGR7:OGT7"/>
    <mergeCell ref="OGU7:OGW7"/>
    <mergeCell ref="OFT7:OFV7"/>
    <mergeCell ref="OFW7:OFY7"/>
    <mergeCell ref="OFZ7:OGB7"/>
    <mergeCell ref="OGC7:OGE7"/>
    <mergeCell ref="OGF7:OGH7"/>
    <mergeCell ref="OFE7:OFG7"/>
    <mergeCell ref="OFH7:OFJ7"/>
    <mergeCell ref="OFK7:OFM7"/>
    <mergeCell ref="OFN7:OFP7"/>
    <mergeCell ref="OFQ7:OFS7"/>
    <mergeCell ref="OEP7:OER7"/>
    <mergeCell ref="OES7:OEU7"/>
    <mergeCell ref="OEV7:OEX7"/>
    <mergeCell ref="OEY7:OFA7"/>
    <mergeCell ref="OFB7:OFD7"/>
    <mergeCell ref="OEA7:OEC7"/>
    <mergeCell ref="OED7:OEF7"/>
    <mergeCell ref="OEG7:OEI7"/>
    <mergeCell ref="OEJ7:OEL7"/>
    <mergeCell ref="OEM7:OEO7"/>
    <mergeCell ref="ODL7:ODN7"/>
    <mergeCell ref="ODO7:ODQ7"/>
    <mergeCell ref="ODR7:ODT7"/>
    <mergeCell ref="ODU7:ODW7"/>
    <mergeCell ref="ODX7:ODZ7"/>
    <mergeCell ref="OCW7:OCY7"/>
    <mergeCell ref="OCZ7:ODB7"/>
    <mergeCell ref="ODC7:ODE7"/>
    <mergeCell ref="ODF7:ODH7"/>
    <mergeCell ref="ODI7:ODK7"/>
    <mergeCell ref="OCH7:OCJ7"/>
    <mergeCell ref="OCK7:OCM7"/>
    <mergeCell ref="OCN7:OCP7"/>
    <mergeCell ref="OCQ7:OCS7"/>
    <mergeCell ref="OCT7:OCV7"/>
    <mergeCell ref="OBS7:OBU7"/>
    <mergeCell ref="OBV7:OBX7"/>
    <mergeCell ref="OBY7:OCA7"/>
    <mergeCell ref="OCB7:OCD7"/>
    <mergeCell ref="OCE7:OCG7"/>
    <mergeCell ref="OBD7:OBF7"/>
    <mergeCell ref="OBG7:OBI7"/>
    <mergeCell ref="OBJ7:OBL7"/>
    <mergeCell ref="OBM7:OBO7"/>
    <mergeCell ref="OBP7:OBR7"/>
    <mergeCell ref="OAO7:OAQ7"/>
    <mergeCell ref="OAR7:OAT7"/>
    <mergeCell ref="OAU7:OAW7"/>
    <mergeCell ref="OAX7:OAZ7"/>
    <mergeCell ref="OBA7:OBC7"/>
    <mergeCell ref="NZZ7:OAB7"/>
    <mergeCell ref="OAC7:OAE7"/>
    <mergeCell ref="OAF7:OAH7"/>
    <mergeCell ref="OAI7:OAK7"/>
    <mergeCell ref="OAL7:OAN7"/>
    <mergeCell ref="NZK7:NZM7"/>
    <mergeCell ref="NZN7:NZP7"/>
    <mergeCell ref="NZQ7:NZS7"/>
    <mergeCell ref="NZT7:NZV7"/>
    <mergeCell ref="NZW7:NZY7"/>
    <mergeCell ref="NYV7:NYX7"/>
    <mergeCell ref="NYY7:NZA7"/>
    <mergeCell ref="NZB7:NZD7"/>
    <mergeCell ref="NZE7:NZG7"/>
    <mergeCell ref="NZH7:NZJ7"/>
    <mergeCell ref="NYG7:NYI7"/>
    <mergeCell ref="NYJ7:NYL7"/>
    <mergeCell ref="NYM7:NYO7"/>
    <mergeCell ref="NYP7:NYR7"/>
    <mergeCell ref="NYS7:NYU7"/>
    <mergeCell ref="NXR7:NXT7"/>
    <mergeCell ref="NXU7:NXW7"/>
    <mergeCell ref="NXX7:NXZ7"/>
    <mergeCell ref="NYA7:NYC7"/>
    <mergeCell ref="NYD7:NYF7"/>
    <mergeCell ref="NXC7:NXE7"/>
    <mergeCell ref="NXF7:NXH7"/>
    <mergeCell ref="NXI7:NXK7"/>
    <mergeCell ref="NXL7:NXN7"/>
    <mergeCell ref="NXO7:NXQ7"/>
    <mergeCell ref="NWN7:NWP7"/>
    <mergeCell ref="NWQ7:NWS7"/>
    <mergeCell ref="NWT7:NWV7"/>
    <mergeCell ref="NWW7:NWY7"/>
    <mergeCell ref="NWZ7:NXB7"/>
    <mergeCell ref="NVY7:NWA7"/>
    <mergeCell ref="NWB7:NWD7"/>
    <mergeCell ref="NWE7:NWG7"/>
    <mergeCell ref="NWH7:NWJ7"/>
    <mergeCell ref="NWK7:NWM7"/>
    <mergeCell ref="NVJ7:NVL7"/>
    <mergeCell ref="NVM7:NVO7"/>
    <mergeCell ref="NVP7:NVR7"/>
    <mergeCell ref="NVS7:NVU7"/>
    <mergeCell ref="NVV7:NVX7"/>
    <mergeCell ref="NUU7:NUW7"/>
    <mergeCell ref="NUX7:NUZ7"/>
    <mergeCell ref="NVA7:NVC7"/>
    <mergeCell ref="NVD7:NVF7"/>
    <mergeCell ref="NVG7:NVI7"/>
    <mergeCell ref="NUF7:NUH7"/>
    <mergeCell ref="NUI7:NUK7"/>
    <mergeCell ref="NUL7:NUN7"/>
    <mergeCell ref="NUO7:NUQ7"/>
    <mergeCell ref="NUR7:NUT7"/>
    <mergeCell ref="NTQ7:NTS7"/>
    <mergeCell ref="NTT7:NTV7"/>
    <mergeCell ref="NTW7:NTY7"/>
    <mergeCell ref="NTZ7:NUB7"/>
    <mergeCell ref="NUC7:NUE7"/>
    <mergeCell ref="NTB7:NTD7"/>
    <mergeCell ref="NTE7:NTG7"/>
    <mergeCell ref="NTH7:NTJ7"/>
    <mergeCell ref="NTK7:NTM7"/>
    <mergeCell ref="NTN7:NTP7"/>
    <mergeCell ref="NSM7:NSO7"/>
    <mergeCell ref="NSP7:NSR7"/>
    <mergeCell ref="NSS7:NSU7"/>
    <mergeCell ref="NSV7:NSX7"/>
    <mergeCell ref="NSY7:NTA7"/>
    <mergeCell ref="NRX7:NRZ7"/>
    <mergeCell ref="NSA7:NSC7"/>
    <mergeCell ref="NSD7:NSF7"/>
    <mergeCell ref="NSG7:NSI7"/>
    <mergeCell ref="NSJ7:NSL7"/>
    <mergeCell ref="NRI7:NRK7"/>
    <mergeCell ref="NRL7:NRN7"/>
    <mergeCell ref="NRO7:NRQ7"/>
    <mergeCell ref="NRR7:NRT7"/>
    <mergeCell ref="NRU7:NRW7"/>
    <mergeCell ref="NQT7:NQV7"/>
    <mergeCell ref="NQW7:NQY7"/>
    <mergeCell ref="NQZ7:NRB7"/>
    <mergeCell ref="NRC7:NRE7"/>
    <mergeCell ref="NRF7:NRH7"/>
    <mergeCell ref="NQE7:NQG7"/>
    <mergeCell ref="NQH7:NQJ7"/>
    <mergeCell ref="NQK7:NQM7"/>
    <mergeCell ref="NQN7:NQP7"/>
    <mergeCell ref="NQQ7:NQS7"/>
    <mergeCell ref="NPP7:NPR7"/>
    <mergeCell ref="NPS7:NPU7"/>
    <mergeCell ref="NPV7:NPX7"/>
    <mergeCell ref="NPY7:NQA7"/>
    <mergeCell ref="NQB7:NQD7"/>
    <mergeCell ref="NPA7:NPC7"/>
    <mergeCell ref="NPD7:NPF7"/>
    <mergeCell ref="NPG7:NPI7"/>
    <mergeCell ref="NPJ7:NPL7"/>
    <mergeCell ref="NPM7:NPO7"/>
    <mergeCell ref="NOL7:NON7"/>
    <mergeCell ref="NOO7:NOQ7"/>
    <mergeCell ref="NOR7:NOT7"/>
    <mergeCell ref="NOU7:NOW7"/>
    <mergeCell ref="NOX7:NOZ7"/>
    <mergeCell ref="NNW7:NNY7"/>
    <mergeCell ref="NNZ7:NOB7"/>
    <mergeCell ref="NOC7:NOE7"/>
    <mergeCell ref="NOF7:NOH7"/>
    <mergeCell ref="NOI7:NOK7"/>
    <mergeCell ref="NNH7:NNJ7"/>
    <mergeCell ref="NNK7:NNM7"/>
    <mergeCell ref="NNN7:NNP7"/>
    <mergeCell ref="NNQ7:NNS7"/>
    <mergeCell ref="NNT7:NNV7"/>
    <mergeCell ref="NMS7:NMU7"/>
    <mergeCell ref="NMV7:NMX7"/>
    <mergeCell ref="NMY7:NNA7"/>
    <mergeCell ref="NNB7:NND7"/>
    <mergeCell ref="NNE7:NNG7"/>
    <mergeCell ref="NMD7:NMF7"/>
    <mergeCell ref="NMG7:NMI7"/>
    <mergeCell ref="NMJ7:NML7"/>
    <mergeCell ref="NMM7:NMO7"/>
    <mergeCell ref="NMP7:NMR7"/>
    <mergeCell ref="NLO7:NLQ7"/>
    <mergeCell ref="NLR7:NLT7"/>
    <mergeCell ref="NLU7:NLW7"/>
    <mergeCell ref="NLX7:NLZ7"/>
    <mergeCell ref="NMA7:NMC7"/>
    <mergeCell ref="NKZ7:NLB7"/>
    <mergeCell ref="NLC7:NLE7"/>
    <mergeCell ref="NLF7:NLH7"/>
    <mergeCell ref="NLI7:NLK7"/>
    <mergeCell ref="NLL7:NLN7"/>
    <mergeCell ref="NKK7:NKM7"/>
    <mergeCell ref="NKN7:NKP7"/>
    <mergeCell ref="NKQ7:NKS7"/>
    <mergeCell ref="NKT7:NKV7"/>
    <mergeCell ref="NKW7:NKY7"/>
    <mergeCell ref="NJV7:NJX7"/>
    <mergeCell ref="NJY7:NKA7"/>
    <mergeCell ref="NKB7:NKD7"/>
    <mergeCell ref="NKE7:NKG7"/>
    <mergeCell ref="NKH7:NKJ7"/>
    <mergeCell ref="NJG7:NJI7"/>
    <mergeCell ref="NJJ7:NJL7"/>
    <mergeCell ref="NJM7:NJO7"/>
    <mergeCell ref="NJP7:NJR7"/>
    <mergeCell ref="NJS7:NJU7"/>
    <mergeCell ref="NIR7:NIT7"/>
    <mergeCell ref="NIU7:NIW7"/>
    <mergeCell ref="NIX7:NIZ7"/>
    <mergeCell ref="NJA7:NJC7"/>
    <mergeCell ref="NJD7:NJF7"/>
    <mergeCell ref="NIC7:NIE7"/>
    <mergeCell ref="NIF7:NIH7"/>
    <mergeCell ref="NII7:NIK7"/>
    <mergeCell ref="NIL7:NIN7"/>
    <mergeCell ref="NIO7:NIQ7"/>
    <mergeCell ref="NHN7:NHP7"/>
    <mergeCell ref="NHQ7:NHS7"/>
    <mergeCell ref="NHT7:NHV7"/>
    <mergeCell ref="NHW7:NHY7"/>
    <mergeCell ref="NHZ7:NIB7"/>
    <mergeCell ref="NGY7:NHA7"/>
    <mergeCell ref="NHB7:NHD7"/>
    <mergeCell ref="NHE7:NHG7"/>
    <mergeCell ref="NHH7:NHJ7"/>
    <mergeCell ref="NHK7:NHM7"/>
    <mergeCell ref="NGJ7:NGL7"/>
    <mergeCell ref="NGM7:NGO7"/>
    <mergeCell ref="NGP7:NGR7"/>
    <mergeCell ref="NGS7:NGU7"/>
    <mergeCell ref="NGV7:NGX7"/>
    <mergeCell ref="NFU7:NFW7"/>
    <mergeCell ref="NFX7:NFZ7"/>
    <mergeCell ref="NGA7:NGC7"/>
    <mergeCell ref="NGD7:NGF7"/>
    <mergeCell ref="NGG7:NGI7"/>
    <mergeCell ref="NFF7:NFH7"/>
    <mergeCell ref="NFI7:NFK7"/>
    <mergeCell ref="NFL7:NFN7"/>
    <mergeCell ref="NFO7:NFQ7"/>
    <mergeCell ref="NFR7:NFT7"/>
    <mergeCell ref="NEQ7:NES7"/>
    <mergeCell ref="NET7:NEV7"/>
    <mergeCell ref="NEW7:NEY7"/>
    <mergeCell ref="NEZ7:NFB7"/>
    <mergeCell ref="NFC7:NFE7"/>
    <mergeCell ref="NEB7:NED7"/>
    <mergeCell ref="NEE7:NEG7"/>
    <mergeCell ref="NEH7:NEJ7"/>
    <mergeCell ref="NEK7:NEM7"/>
    <mergeCell ref="NEN7:NEP7"/>
    <mergeCell ref="NDM7:NDO7"/>
    <mergeCell ref="NDP7:NDR7"/>
    <mergeCell ref="NDS7:NDU7"/>
    <mergeCell ref="NDV7:NDX7"/>
    <mergeCell ref="NDY7:NEA7"/>
    <mergeCell ref="NCX7:NCZ7"/>
    <mergeCell ref="NDA7:NDC7"/>
    <mergeCell ref="NDD7:NDF7"/>
    <mergeCell ref="NDG7:NDI7"/>
    <mergeCell ref="NDJ7:NDL7"/>
    <mergeCell ref="NCI7:NCK7"/>
    <mergeCell ref="NCL7:NCN7"/>
    <mergeCell ref="NCO7:NCQ7"/>
    <mergeCell ref="NCR7:NCT7"/>
    <mergeCell ref="NCU7:NCW7"/>
    <mergeCell ref="NBT7:NBV7"/>
    <mergeCell ref="NBW7:NBY7"/>
    <mergeCell ref="NBZ7:NCB7"/>
    <mergeCell ref="NCC7:NCE7"/>
    <mergeCell ref="NCF7:NCH7"/>
    <mergeCell ref="NBE7:NBG7"/>
    <mergeCell ref="NBH7:NBJ7"/>
    <mergeCell ref="NBK7:NBM7"/>
    <mergeCell ref="NBN7:NBP7"/>
    <mergeCell ref="NBQ7:NBS7"/>
    <mergeCell ref="NAP7:NAR7"/>
    <mergeCell ref="NAS7:NAU7"/>
    <mergeCell ref="NAV7:NAX7"/>
    <mergeCell ref="NAY7:NBA7"/>
    <mergeCell ref="NBB7:NBD7"/>
    <mergeCell ref="NAA7:NAC7"/>
    <mergeCell ref="NAD7:NAF7"/>
    <mergeCell ref="NAG7:NAI7"/>
    <mergeCell ref="NAJ7:NAL7"/>
    <mergeCell ref="NAM7:NAO7"/>
    <mergeCell ref="MZL7:MZN7"/>
    <mergeCell ref="MZO7:MZQ7"/>
    <mergeCell ref="MZR7:MZT7"/>
    <mergeCell ref="MZU7:MZW7"/>
    <mergeCell ref="MZX7:MZZ7"/>
    <mergeCell ref="MYW7:MYY7"/>
    <mergeCell ref="MYZ7:MZB7"/>
    <mergeCell ref="MZC7:MZE7"/>
    <mergeCell ref="MZF7:MZH7"/>
    <mergeCell ref="MZI7:MZK7"/>
    <mergeCell ref="MYH7:MYJ7"/>
    <mergeCell ref="MYK7:MYM7"/>
    <mergeCell ref="MYN7:MYP7"/>
    <mergeCell ref="MYQ7:MYS7"/>
    <mergeCell ref="MYT7:MYV7"/>
    <mergeCell ref="MXS7:MXU7"/>
    <mergeCell ref="MXV7:MXX7"/>
    <mergeCell ref="MXY7:MYA7"/>
    <mergeCell ref="MYB7:MYD7"/>
    <mergeCell ref="MYE7:MYG7"/>
    <mergeCell ref="MXD7:MXF7"/>
    <mergeCell ref="MXG7:MXI7"/>
    <mergeCell ref="MXJ7:MXL7"/>
    <mergeCell ref="MXM7:MXO7"/>
    <mergeCell ref="MXP7:MXR7"/>
    <mergeCell ref="MWO7:MWQ7"/>
    <mergeCell ref="MWR7:MWT7"/>
    <mergeCell ref="MWU7:MWW7"/>
    <mergeCell ref="MWX7:MWZ7"/>
    <mergeCell ref="MXA7:MXC7"/>
    <mergeCell ref="MVZ7:MWB7"/>
    <mergeCell ref="MWC7:MWE7"/>
    <mergeCell ref="MWF7:MWH7"/>
    <mergeCell ref="MWI7:MWK7"/>
    <mergeCell ref="MWL7:MWN7"/>
    <mergeCell ref="MVK7:MVM7"/>
    <mergeCell ref="MVN7:MVP7"/>
    <mergeCell ref="MVQ7:MVS7"/>
    <mergeCell ref="MVT7:MVV7"/>
    <mergeCell ref="MVW7:MVY7"/>
    <mergeCell ref="MUV7:MUX7"/>
    <mergeCell ref="MUY7:MVA7"/>
    <mergeCell ref="MVB7:MVD7"/>
    <mergeCell ref="MVE7:MVG7"/>
    <mergeCell ref="MVH7:MVJ7"/>
    <mergeCell ref="MUG7:MUI7"/>
    <mergeCell ref="MUJ7:MUL7"/>
    <mergeCell ref="MUM7:MUO7"/>
    <mergeCell ref="MUP7:MUR7"/>
    <mergeCell ref="MUS7:MUU7"/>
    <mergeCell ref="MTR7:MTT7"/>
    <mergeCell ref="MTU7:MTW7"/>
    <mergeCell ref="MTX7:MTZ7"/>
    <mergeCell ref="MUA7:MUC7"/>
    <mergeCell ref="MUD7:MUF7"/>
    <mergeCell ref="MTC7:MTE7"/>
    <mergeCell ref="MTF7:MTH7"/>
    <mergeCell ref="MTI7:MTK7"/>
    <mergeCell ref="MTL7:MTN7"/>
    <mergeCell ref="MTO7:MTQ7"/>
    <mergeCell ref="MSN7:MSP7"/>
    <mergeCell ref="MSQ7:MSS7"/>
    <mergeCell ref="MST7:MSV7"/>
    <mergeCell ref="MSW7:MSY7"/>
    <mergeCell ref="MSZ7:MTB7"/>
    <mergeCell ref="MRY7:MSA7"/>
    <mergeCell ref="MSB7:MSD7"/>
    <mergeCell ref="MSE7:MSG7"/>
    <mergeCell ref="MSH7:MSJ7"/>
    <mergeCell ref="MSK7:MSM7"/>
    <mergeCell ref="MRJ7:MRL7"/>
    <mergeCell ref="MRM7:MRO7"/>
    <mergeCell ref="MRP7:MRR7"/>
    <mergeCell ref="MRS7:MRU7"/>
    <mergeCell ref="MRV7:MRX7"/>
    <mergeCell ref="MQU7:MQW7"/>
    <mergeCell ref="MQX7:MQZ7"/>
    <mergeCell ref="MRA7:MRC7"/>
    <mergeCell ref="MRD7:MRF7"/>
    <mergeCell ref="MRG7:MRI7"/>
    <mergeCell ref="MQF7:MQH7"/>
    <mergeCell ref="MQI7:MQK7"/>
    <mergeCell ref="MQL7:MQN7"/>
    <mergeCell ref="MQO7:MQQ7"/>
    <mergeCell ref="MQR7:MQT7"/>
    <mergeCell ref="MPQ7:MPS7"/>
    <mergeCell ref="MPT7:MPV7"/>
    <mergeCell ref="MPW7:MPY7"/>
    <mergeCell ref="MPZ7:MQB7"/>
    <mergeCell ref="MQC7:MQE7"/>
    <mergeCell ref="MPB7:MPD7"/>
    <mergeCell ref="MPE7:MPG7"/>
    <mergeCell ref="MPH7:MPJ7"/>
    <mergeCell ref="MPK7:MPM7"/>
    <mergeCell ref="MPN7:MPP7"/>
    <mergeCell ref="MOM7:MOO7"/>
    <mergeCell ref="MOP7:MOR7"/>
    <mergeCell ref="MOS7:MOU7"/>
    <mergeCell ref="MOV7:MOX7"/>
    <mergeCell ref="MOY7:MPA7"/>
    <mergeCell ref="MNX7:MNZ7"/>
    <mergeCell ref="MOA7:MOC7"/>
    <mergeCell ref="MOD7:MOF7"/>
    <mergeCell ref="MOG7:MOI7"/>
    <mergeCell ref="MOJ7:MOL7"/>
    <mergeCell ref="MNI7:MNK7"/>
    <mergeCell ref="MNL7:MNN7"/>
    <mergeCell ref="MNO7:MNQ7"/>
    <mergeCell ref="MNR7:MNT7"/>
    <mergeCell ref="MNU7:MNW7"/>
    <mergeCell ref="MMT7:MMV7"/>
    <mergeCell ref="MMW7:MMY7"/>
    <mergeCell ref="MMZ7:MNB7"/>
    <mergeCell ref="MNC7:MNE7"/>
    <mergeCell ref="MNF7:MNH7"/>
    <mergeCell ref="MME7:MMG7"/>
    <mergeCell ref="MMH7:MMJ7"/>
    <mergeCell ref="MMK7:MMM7"/>
    <mergeCell ref="MMN7:MMP7"/>
    <mergeCell ref="MMQ7:MMS7"/>
    <mergeCell ref="MLP7:MLR7"/>
    <mergeCell ref="MLS7:MLU7"/>
    <mergeCell ref="MLV7:MLX7"/>
    <mergeCell ref="MLY7:MMA7"/>
    <mergeCell ref="MMB7:MMD7"/>
    <mergeCell ref="MLA7:MLC7"/>
    <mergeCell ref="MLD7:MLF7"/>
    <mergeCell ref="MLG7:MLI7"/>
    <mergeCell ref="MLJ7:MLL7"/>
    <mergeCell ref="MLM7:MLO7"/>
    <mergeCell ref="MKL7:MKN7"/>
    <mergeCell ref="MKO7:MKQ7"/>
    <mergeCell ref="MKR7:MKT7"/>
    <mergeCell ref="MKU7:MKW7"/>
    <mergeCell ref="MKX7:MKZ7"/>
    <mergeCell ref="MJW7:MJY7"/>
    <mergeCell ref="MJZ7:MKB7"/>
    <mergeCell ref="MKC7:MKE7"/>
    <mergeCell ref="MKF7:MKH7"/>
    <mergeCell ref="MKI7:MKK7"/>
    <mergeCell ref="MJH7:MJJ7"/>
    <mergeCell ref="MJK7:MJM7"/>
    <mergeCell ref="MJN7:MJP7"/>
    <mergeCell ref="MJQ7:MJS7"/>
    <mergeCell ref="MJT7:MJV7"/>
    <mergeCell ref="MIS7:MIU7"/>
    <mergeCell ref="MIV7:MIX7"/>
    <mergeCell ref="MIY7:MJA7"/>
    <mergeCell ref="MJB7:MJD7"/>
    <mergeCell ref="MJE7:MJG7"/>
    <mergeCell ref="MID7:MIF7"/>
    <mergeCell ref="MIG7:MII7"/>
    <mergeCell ref="MIJ7:MIL7"/>
    <mergeCell ref="MIM7:MIO7"/>
    <mergeCell ref="MIP7:MIR7"/>
    <mergeCell ref="MHO7:MHQ7"/>
    <mergeCell ref="MHR7:MHT7"/>
    <mergeCell ref="MHU7:MHW7"/>
    <mergeCell ref="MHX7:MHZ7"/>
    <mergeCell ref="MIA7:MIC7"/>
    <mergeCell ref="MGZ7:MHB7"/>
    <mergeCell ref="MHC7:MHE7"/>
    <mergeCell ref="MHF7:MHH7"/>
    <mergeCell ref="MHI7:MHK7"/>
    <mergeCell ref="MHL7:MHN7"/>
    <mergeCell ref="MGK7:MGM7"/>
    <mergeCell ref="MGN7:MGP7"/>
    <mergeCell ref="MGQ7:MGS7"/>
    <mergeCell ref="MGT7:MGV7"/>
    <mergeCell ref="MGW7:MGY7"/>
    <mergeCell ref="MFV7:MFX7"/>
    <mergeCell ref="MFY7:MGA7"/>
    <mergeCell ref="MGB7:MGD7"/>
    <mergeCell ref="MGE7:MGG7"/>
    <mergeCell ref="MGH7:MGJ7"/>
    <mergeCell ref="MFG7:MFI7"/>
    <mergeCell ref="MFJ7:MFL7"/>
    <mergeCell ref="MFM7:MFO7"/>
    <mergeCell ref="MFP7:MFR7"/>
    <mergeCell ref="MFS7:MFU7"/>
    <mergeCell ref="MER7:MET7"/>
    <mergeCell ref="MEU7:MEW7"/>
    <mergeCell ref="MEX7:MEZ7"/>
    <mergeCell ref="MFA7:MFC7"/>
    <mergeCell ref="MFD7:MFF7"/>
    <mergeCell ref="MEC7:MEE7"/>
    <mergeCell ref="MEF7:MEH7"/>
    <mergeCell ref="MEI7:MEK7"/>
    <mergeCell ref="MEL7:MEN7"/>
    <mergeCell ref="MEO7:MEQ7"/>
    <mergeCell ref="MDN7:MDP7"/>
    <mergeCell ref="MDQ7:MDS7"/>
    <mergeCell ref="MDT7:MDV7"/>
    <mergeCell ref="MDW7:MDY7"/>
    <mergeCell ref="MDZ7:MEB7"/>
    <mergeCell ref="MCY7:MDA7"/>
    <mergeCell ref="MDB7:MDD7"/>
    <mergeCell ref="MDE7:MDG7"/>
    <mergeCell ref="MDH7:MDJ7"/>
    <mergeCell ref="MDK7:MDM7"/>
    <mergeCell ref="MCJ7:MCL7"/>
    <mergeCell ref="MCM7:MCO7"/>
    <mergeCell ref="MCP7:MCR7"/>
    <mergeCell ref="MCS7:MCU7"/>
    <mergeCell ref="MCV7:MCX7"/>
    <mergeCell ref="MBU7:MBW7"/>
    <mergeCell ref="MBX7:MBZ7"/>
    <mergeCell ref="MCA7:MCC7"/>
    <mergeCell ref="MCD7:MCF7"/>
    <mergeCell ref="MCG7:MCI7"/>
    <mergeCell ref="MBF7:MBH7"/>
    <mergeCell ref="MBI7:MBK7"/>
    <mergeCell ref="MBL7:MBN7"/>
    <mergeCell ref="MBO7:MBQ7"/>
    <mergeCell ref="MBR7:MBT7"/>
    <mergeCell ref="MAQ7:MAS7"/>
    <mergeCell ref="MAT7:MAV7"/>
    <mergeCell ref="MAW7:MAY7"/>
    <mergeCell ref="MAZ7:MBB7"/>
    <mergeCell ref="MBC7:MBE7"/>
    <mergeCell ref="MAB7:MAD7"/>
    <mergeCell ref="MAE7:MAG7"/>
    <mergeCell ref="MAH7:MAJ7"/>
    <mergeCell ref="MAK7:MAM7"/>
    <mergeCell ref="MAN7:MAP7"/>
    <mergeCell ref="LZM7:LZO7"/>
    <mergeCell ref="LZP7:LZR7"/>
    <mergeCell ref="LZS7:LZU7"/>
    <mergeCell ref="LZV7:LZX7"/>
    <mergeCell ref="LZY7:MAA7"/>
    <mergeCell ref="LYX7:LYZ7"/>
    <mergeCell ref="LZA7:LZC7"/>
    <mergeCell ref="LZD7:LZF7"/>
    <mergeCell ref="LZG7:LZI7"/>
    <mergeCell ref="LZJ7:LZL7"/>
    <mergeCell ref="LYI7:LYK7"/>
    <mergeCell ref="LYL7:LYN7"/>
    <mergeCell ref="LYO7:LYQ7"/>
    <mergeCell ref="LYR7:LYT7"/>
    <mergeCell ref="LYU7:LYW7"/>
    <mergeCell ref="LXT7:LXV7"/>
    <mergeCell ref="LXW7:LXY7"/>
    <mergeCell ref="LXZ7:LYB7"/>
    <mergeCell ref="LYC7:LYE7"/>
    <mergeCell ref="LYF7:LYH7"/>
    <mergeCell ref="LXE7:LXG7"/>
    <mergeCell ref="LXH7:LXJ7"/>
    <mergeCell ref="LXK7:LXM7"/>
    <mergeCell ref="LXN7:LXP7"/>
    <mergeCell ref="LXQ7:LXS7"/>
    <mergeCell ref="LWP7:LWR7"/>
    <mergeCell ref="LWS7:LWU7"/>
    <mergeCell ref="LWV7:LWX7"/>
    <mergeCell ref="LWY7:LXA7"/>
    <mergeCell ref="LXB7:LXD7"/>
    <mergeCell ref="LWA7:LWC7"/>
    <mergeCell ref="LWD7:LWF7"/>
    <mergeCell ref="LWG7:LWI7"/>
    <mergeCell ref="LWJ7:LWL7"/>
    <mergeCell ref="LWM7:LWO7"/>
    <mergeCell ref="LVL7:LVN7"/>
    <mergeCell ref="LVO7:LVQ7"/>
    <mergeCell ref="LVR7:LVT7"/>
    <mergeCell ref="LVU7:LVW7"/>
    <mergeCell ref="LVX7:LVZ7"/>
    <mergeCell ref="LUW7:LUY7"/>
    <mergeCell ref="LUZ7:LVB7"/>
    <mergeCell ref="LVC7:LVE7"/>
    <mergeCell ref="LVF7:LVH7"/>
    <mergeCell ref="LVI7:LVK7"/>
    <mergeCell ref="LUH7:LUJ7"/>
    <mergeCell ref="LUK7:LUM7"/>
    <mergeCell ref="LUN7:LUP7"/>
    <mergeCell ref="LUQ7:LUS7"/>
    <mergeCell ref="LUT7:LUV7"/>
    <mergeCell ref="LTS7:LTU7"/>
    <mergeCell ref="LTV7:LTX7"/>
    <mergeCell ref="LTY7:LUA7"/>
    <mergeCell ref="LUB7:LUD7"/>
    <mergeCell ref="LUE7:LUG7"/>
    <mergeCell ref="LTD7:LTF7"/>
    <mergeCell ref="LTG7:LTI7"/>
    <mergeCell ref="LTJ7:LTL7"/>
    <mergeCell ref="LTM7:LTO7"/>
    <mergeCell ref="LTP7:LTR7"/>
    <mergeCell ref="LSO7:LSQ7"/>
    <mergeCell ref="LSR7:LST7"/>
    <mergeCell ref="LSU7:LSW7"/>
    <mergeCell ref="LSX7:LSZ7"/>
    <mergeCell ref="LTA7:LTC7"/>
    <mergeCell ref="LRZ7:LSB7"/>
    <mergeCell ref="LSC7:LSE7"/>
    <mergeCell ref="LSF7:LSH7"/>
    <mergeCell ref="LSI7:LSK7"/>
    <mergeCell ref="LSL7:LSN7"/>
    <mergeCell ref="LRK7:LRM7"/>
    <mergeCell ref="LRN7:LRP7"/>
    <mergeCell ref="LRQ7:LRS7"/>
    <mergeCell ref="LRT7:LRV7"/>
    <mergeCell ref="LRW7:LRY7"/>
    <mergeCell ref="LQV7:LQX7"/>
    <mergeCell ref="LQY7:LRA7"/>
    <mergeCell ref="LRB7:LRD7"/>
    <mergeCell ref="LRE7:LRG7"/>
    <mergeCell ref="LRH7:LRJ7"/>
    <mergeCell ref="LQG7:LQI7"/>
    <mergeCell ref="LQJ7:LQL7"/>
    <mergeCell ref="LQM7:LQO7"/>
    <mergeCell ref="LQP7:LQR7"/>
    <mergeCell ref="LQS7:LQU7"/>
    <mergeCell ref="LPR7:LPT7"/>
    <mergeCell ref="LPU7:LPW7"/>
    <mergeCell ref="LPX7:LPZ7"/>
    <mergeCell ref="LQA7:LQC7"/>
    <mergeCell ref="LQD7:LQF7"/>
    <mergeCell ref="LPC7:LPE7"/>
    <mergeCell ref="LPF7:LPH7"/>
    <mergeCell ref="LPI7:LPK7"/>
    <mergeCell ref="LPL7:LPN7"/>
    <mergeCell ref="LPO7:LPQ7"/>
    <mergeCell ref="LON7:LOP7"/>
    <mergeCell ref="LOQ7:LOS7"/>
    <mergeCell ref="LOT7:LOV7"/>
    <mergeCell ref="LOW7:LOY7"/>
    <mergeCell ref="LOZ7:LPB7"/>
    <mergeCell ref="LNY7:LOA7"/>
    <mergeCell ref="LOB7:LOD7"/>
    <mergeCell ref="LOE7:LOG7"/>
    <mergeCell ref="LOH7:LOJ7"/>
    <mergeCell ref="LOK7:LOM7"/>
    <mergeCell ref="LNJ7:LNL7"/>
    <mergeCell ref="LNM7:LNO7"/>
    <mergeCell ref="LNP7:LNR7"/>
    <mergeCell ref="LNS7:LNU7"/>
    <mergeCell ref="LNV7:LNX7"/>
    <mergeCell ref="LMU7:LMW7"/>
    <mergeCell ref="LMX7:LMZ7"/>
    <mergeCell ref="LNA7:LNC7"/>
    <mergeCell ref="LND7:LNF7"/>
    <mergeCell ref="LNG7:LNI7"/>
    <mergeCell ref="LMF7:LMH7"/>
    <mergeCell ref="LMI7:LMK7"/>
    <mergeCell ref="LML7:LMN7"/>
    <mergeCell ref="LMO7:LMQ7"/>
    <mergeCell ref="LMR7:LMT7"/>
    <mergeCell ref="LLQ7:LLS7"/>
    <mergeCell ref="LLT7:LLV7"/>
    <mergeCell ref="LLW7:LLY7"/>
    <mergeCell ref="LLZ7:LMB7"/>
    <mergeCell ref="LMC7:LME7"/>
    <mergeCell ref="LLB7:LLD7"/>
    <mergeCell ref="LLE7:LLG7"/>
    <mergeCell ref="LLH7:LLJ7"/>
    <mergeCell ref="LLK7:LLM7"/>
    <mergeCell ref="LLN7:LLP7"/>
    <mergeCell ref="LKM7:LKO7"/>
    <mergeCell ref="LKP7:LKR7"/>
    <mergeCell ref="LKS7:LKU7"/>
    <mergeCell ref="LKV7:LKX7"/>
    <mergeCell ref="LKY7:LLA7"/>
    <mergeCell ref="LJX7:LJZ7"/>
    <mergeCell ref="LKA7:LKC7"/>
    <mergeCell ref="LKD7:LKF7"/>
    <mergeCell ref="LKG7:LKI7"/>
    <mergeCell ref="LKJ7:LKL7"/>
    <mergeCell ref="LJI7:LJK7"/>
    <mergeCell ref="LJL7:LJN7"/>
    <mergeCell ref="LJO7:LJQ7"/>
    <mergeCell ref="LJR7:LJT7"/>
    <mergeCell ref="LJU7:LJW7"/>
    <mergeCell ref="LIT7:LIV7"/>
    <mergeCell ref="LIW7:LIY7"/>
    <mergeCell ref="LIZ7:LJB7"/>
    <mergeCell ref="LJC7:LJE7"/>
    <mergeCell ref="LJF7:LJH7"/>
    <mergeCell ref="LIE7:LIG7"/>
    <mergeCell ref="LIH7:LIJ7"/>
    <mergeCell ref="LIK7:LIM7"/>
    <mergeCell ref="LIN7:LIP7"/>
    <mergeCell ref="LIQ7:LIS7"/>
    <mergeCell ref="LHP7:LHR7"/>
    <mergeCell ref="LHS7:LHU7"/>
    <mergeCell ref="LHV7:LHX7"/>
    <mergeCell ref="LHY7:LIA7"/>
    <mergeCell ref="LIB7:LID7"/>
    <mergeCell ref="LHA7:LHC7"/>
    <mergeCell ref="LHD7:LHF7"/>
    <mergeCell ref="LHG7:LHI7"/>
    <mergeCell ref="LHJ7:LHL7"/>
    <mergeCell ref="LHM7:LHO7"/>
    <mergeCell ref="LGL7:LGN7"/>
    <mergeCell ref="LGO7:LGQ7"/>
    <mergeCell ref="LGR7:LGT7"/>
    <mergeCell ref="LGU7:LGW7"/>
    <mergeCell ref="LGX7:LGZ7"/>
    <mergeCell ref="LFW7:LFY7"/>
    <mergeCell ref="LFZ7:LGB7"/>
    <mergeCell ref="LGC7:LGE7"/>
    <mergeCell ref="LGF7:LGH7"/>
    <mergeCell ref="LGI7:LGK7"/>
    <mergeCell ref="LFH7:LFJ7"/>
    <mergeCell ref="LFK7:LFM7"/>
    <mergeCell ref="LFN7:LFP7"/>
    <mergeCell ref="LFQ7:LFS7"/>
    <mergeCell ref="LFT7:LFV7"/>
    <mergeCell ref="LES7:LEU7"/>
    <mergeCell ref="LEV7:LEX7"/>
    <mergeCell ref="LEY7:LFA7"/>
    <mergeCell ref="LFB7:LFD7"/>
    <mergeCell ref="LFE7:LFG7"/>
    <mergeCell ref="LED7:LEF7"/>
    <mergeCell ref="LEG7:LEI7"/>
    <mergeCell ref="LEJ7:LEL7"/>
    <mergeCell ref="LEM7:LEO7"/>
    <mergeCell ref="LEP7:LER7"/>
    <mergeCell ref="LDO7:LDQ7"/>
    <mergeCell ref="LDR7:LDT7"/>
    <mergeCell ref="LDU7:LDW7"/>
    <mergeCell ref="LDX7:LDZ7"/>
    <mergeCell ref="LEA7:LEC7"/>
    <mergeCell ref="LCZ7:LDB7"/>
    <mergeCell ref="LDC7:LDE7"/>
    <mergeCell ref="LDF7:LDH7"/>
    <mergeCell ref="LDI7:LDK7"/>
    <mergeCell ref="LDL7:LDN7"/>
    <mergeCell ref="LCK7:LCM7"/>
    <mergeCell ref="LCN7:LCP7"/>
    <mergeCell ref="LCQ7:LCS7"/>
    <mergeCell ref="LCT7:LCV7"/>
    <mergeCell ref="LCW7:LCY7"/>
    <mergeCell ref="LBV7:LBX7"/>
    <mergeCell ref="LBY7:LCA7"/>
    <mergeCell ref="LCB7:LCD7"/>
    <mergeCell ref="LCE7:LCG7"/>
    <mergeCell ref="LCH7:LCJ7"/>
    <mergeCell ref="LBG7:LBI7"/>
    <mergeCell ref="LBJ7:LBL7"/>
    <mergeCell ref="LBM7:LBO7"/>
    <mergeCell ref="LBP7:LBR7"/>
    <mergeCell ref="LBS7:LBU7"/>
    <mergeCell ref="LAR7:LAT7"/>
    <mergeCell ref="LAU7:LAW7"/>
    <mergeCell ref="LAX7:LAZ7"/>
    <mergeCell ref="LBA7:LBC7"/>
    <mergeCell ref="LBD7:LBF7"/>
    <mergeCell ref="LAC7:LAE7"/>
    <mergeCell ref="LAF7:LAH7"/>
    <mergeCell ref="LAI7:LAK7"/>
    <mergeCell ref="LAL7:LAN7"/>
    <mergeCell ref="LAO7:LAQ7"/>
    <mergeCell ref="KZN7:KZP7"/>
    <mergeCell ref="KZQ7:KZS7"/>
    <mergeCell ref="KZT7:KZV7"/>
    <mergeCell ref="KZW7:KZY7"/>
    <mergeCell ref="KZZ7:LAB7"/>
    <mergeCell ref="KYY7:KZA7"/>
    <mergeCell ref="KZB7:KZD7"/>
    <mergeCell ref="KZE7:KZG7"/>
    <mergeCell ref="KZH7:KZJ7"/>
    <mergeCell ref="KZK7:KZM7"/>
    <mergeCell ref="KYJ7:KYL7"/>
    <mergeCell ref="KYM7:KYO7"/>
    <mergeCell ref="KYP7:KYR7"/>
    <mergeCell ref="KYS7:KYU7"/>
    <mergeCell ref="KYV7:KYX7"/>
    <mergeCell ref="KXU7:KXW7"/>
    <mergeCell ref="KXX7:KXZ7"/>
    <mergeCell ref="KYA7:KYC7"/>
    <mergeCell ref="KYD7:KYF7"/>
    <mergeCell ref="KYG7:KYI7"/>
    <mergeCell ref="KXF7:KXH7"/>
    <mergeCell ref="KXI7:KXK7"/>
    <mergeCell ref="KXL7:KXN7"/>
    <mergeCell ref="KXO7:KXQ7"/>
    <mergeCell ref="KXR7:KXT7"/>
    <mergeCell ref="KWQ7:KWS7"/>
    <mergeCell ref="KWT7:KWV7"/>
    <mergeCell ref="KWW7:KWY7"/>
    <mergeCell ref="KWZ7:KXB7"/>
    <mergeCell ref="KXC7:KXE7"/>
    <mergeCell ref="KWB7:KWD7"/>
    <mergeCell ref="KWE7:KWG7"/>
    <mergeCell ref="KWH7:KWJ7"/>
    <mergeCell ref="KWK7:KWM7"/>
    <mergeCell ref="KWN7:KWP7"/>
    <mergeCell ref="KVM7:KVO7"/>
    <mergeCell ref="KVP7:KVR7"/>
    <mergeCell ref="KVS7:KVU7"/>
    <mergeCell ref="KVV7:KVX7"/>
    <mergeCell ref="KVY7:KWA7"/>
    <mergeCell ref="KUX7:KUZ7"/>
    <mergeCell ref="KVA7:KVC7"/>
    <mergeCell ref="KVD7:KVF7"/>
    <mergeCell ref="KVG7:KVI7"/>
    <mergeCell ref="KVJ7:KVL7"/>
    <mergeCell ref="KUI7:KUK7"/>
    <mergeCell ref="KUL7:KUN7"/>
    <mergeCell ref="KUO7:KUQ7"/>
    <mergeCell ref="KUR7:KUT7"/>
    <mergeCell ref="KUU7:KUW7"/>
    <mergeCell ref="KTT7:KTV7"/>
    <mergeCell ref="KTW7:KTY7"/>
    <mergeCell ref="KTZ7:KUB7"/>
    <mergeCell ref="KUC7:KUE7"/>
    <mergeCell ref="KUF7:KUH7"/>
    <mergeCell ref="KTE7:KTG7"/>
    <mergeCell ref="KTH7:KTJ7"/>
    <mergeCell ref="KTK7:KTM7"/>
    <mergeCell ref="KTN7:KTP7"/>
    <mergeCell ref="KTQ7:KTS7"/>
    <mergeCell ref="KSP7:KSR7"/>
    <mergeCell ref="KSS7:KSU7"/>
    <mergeCell ref="KSV7:KSX7"/>
    <mergeCell ref="KSY7:KTA7"/>
    <mergeCell ref="KTB7:KTD7"/>
    <mergeCell ref="KSA7:KSC7"/>
    <mergeCell ref="KSD7:KSF7"/>
    <mergeCell ref="KSG7:KSI7"/>
    <mergeCell ref="KSJ7:KSL7"/>
    <mergeCell ref="KSM7:KSO7"/>
    <mergeCell ref="KRL7:KRN7"/>
    <mergeCell ref="KRO7:KRQ7"/>
    <mergeCell ref="KRR7:KRT7"/>
    <mergeCell ref="KRU7:KRW7"/>
    <mergeCell ref="KRX7:KRZ7"/>
    <mergeCell ref="KQW7:KQY7"/>
    <mergeCell ref="KQZ7:KRB7"/>
    <mergeCell ref="KRC7:KRE7"/>
    <mergeCell ref="KRF7:KRH7"/>
    <mergeCell ref="KRI7:KRK7"/>
    <mergeCell ref="KQH7:KQJ7"/>
    <mergeCell ref="KQK7:KQM7"/>
    <mergeCell ref="KQN7:KQP7"/>
    <mergeCell ref="KQQ7:KQS7"/>
    <mergeCell ref="KQT7:KQV7"/>
    <mergeCell ref="KPS7:KPU7"/>
    <mergeCell ref="KPV7:KPX7"/>
    <mergeCell ref="KPY7:KQA7"/>
    <mergeCell ref="KQB7:KQD7"/>
    <mergeCell ref="KQE7:KQG7"/>
    <mergeCell ref="KPD7:KPF7"/>
    <mergeCell ref="KPG7:KPI7"/>
    <mergeCell ref="KPJ7:KPL7"/>
    <mergeCell ref="KPM7:KPO7"/>
    <mergeCell ref="KPP7:KPR7"/>
    <mergeCell ref="KOO7:KOQ7"/>
    <mergeCell ref="KOR7:KOT7"/>
    <mergeCell ref="KOU7:KOW7"/>
    <mergeCell ref="KOX7:KOZ7"/>
    <mergeCell ref="KPA7:KPC7"/>
    <mergeCell ref="KNZ7:KOB7"/>
    <mergeCell ref="KOC7:KOE7"/>
    <mergeCell ref="KOF7:KOH7"/>
    <mergeCell ref="KOI7:KOK7"/>
    <mergeCell ref="KOL7:KON7"/>
    <mergeCell ref="KNK7:KNM7"/>
    <mergeCell ref="KNN7:KNP7"/>
    <mergeCell ref="KNQ7:KNS7"/>
    <mergeCell ref="KNT7:KNV7"/>
    <mergeCell ref="KNW7:KNY7"/>
    <mergeCell ref="KMV7:KMX7"/>
    <mergeCell ref="KMY7:KNA7"/>
    <mergeCell ref="KNB7:KND7"/>
    <mergeCell ref="KNE7:KNG7"/>
    <mergeCell ref="KNH7:KNJ7"/>
    <mergeCell ref="KMG7:KMI7"/>
    <mergeCell ref="KMJ7:KML7"/>
    <mergeCell ref="KMM7:KMO7"/>
    <mergeCell ref="KMP7:KMR7"/>
    <mergeCell ref="KMS7:KMU7"/>
    <mergeCell ref="KLR7:KLT7"/>
    <mergeCell ref="KLU7:KLW7"/>
    <mergeCell ref="KLX7:KLZ7"/>
    <mergeCell ref="KMA7:KMC7"/>
    <mergeCell ref="KMD7:KMF7"/>
    <mergeCell ref="KLC7:KLE7"/>
    <mergeCell ref="KLF7:KLH7"/>
    <mergeCell ref="KLI7:KLK7"/>
    <mergeCell ref="KLL7:KLN7"/>
    <mergeCell ref="KLO7:KLQ7"/>
    <mergeCell ref="KKN7:KKP7"/>
    <mergeCell ref="KKQ7:KKS7"/>
    <mergeCell ref="KKT7:KKV7"/>
    <mergeCell ref="KKW7:KKY7"/>
    <mergeCell ref="KKZ7:KLB7"/>
    <mergeCell ref="KJY7:KKA7"/>
    <mergeCell ref="KKB7:KKD7"/>
    <mergeCell ref="KKE7:KKG7"/>
    <mergeCell ref="KKH7:KKJ7"/>
    <mergeCell ref="KKK7:KKM7"/>
    <mergeCell ref="KJJ7:KJL7"/>
    <mergeCell ref="KJM7:KJO7"/>
    <mergeCell ref="KJP7:KJR7"/>
    <mergeCell ref="KJS7:KJU7"/>
    <mergeCell ref="KJV7:KJX7"/>
    <mergeCell ref="KIU7:KIW7"/>
    <mergeCell ref="KIX7:KIZ7"/>
    <mergeCell ref="KJA7:KJC7"/>
    <mergeCell ref="KJD7:KJF7"/>
    <mergeCell ref="KJG7:KJI7"/>
    <mergeCell ref="KIF7:KIH7"/>
    <mergeCell ref="KII7:KIK7"/>
    <mergeCell ref="KIL7:KIN7"/>
    <mergeCell ref="KIO7:KIQ7"/>
    <mergeCell ref="KIR7:KIT7"/>
    <mergeCell ref="KHQ7:KHS7"/>
    <mergeCell ref="KHT7:KHV7"/>
    <mergeCell ref="KHW7:KHY7"/>
    <mergeCell ref="KHZ7:KIB7"/>
    <mergeCell ref="KIC7:KIE7"/>
    <mergeCell ref="KHB7:KHD7"/>
    <mergeCell ref="KHE7:KHG7"/>
    <mergeCell ref="KHH7:KHJ7"/>
    <mergeCell ref="KHK7:KHM7"/>
    <mergeCell ref="KHN7:KHP7"/>
    <mergeCell ref="KGM7:KGO7"/>
    <mergeCell ref="KGP7:KGR7"/>
    <mergeCell ref="KGS7:KGU7"/>
    <mergeCell ref="KGV7:KGX7"/>
    <mergeCell ref="KGY7:KHA7"/>
    <mergeCell ref="KFX7:KFZ7"/>
    <mergeCell ref="KGA7:KGC7"/>
    <mergeCell ref="KGD7:KGF7"/>
    <mergeCell ref="KGG7:KGI7"/>
    <mergeCell ref="KGJ7:KGL7"/>
    <mergeCell ref="KFI7:KFK7"/>
    <mergeCell ref="KFL7:KFN7"/>
    <mergeCell ref="KFO7:KFQ7"/>
    <mergeCell ref="KFR7:KFT7"/>
    <mergeCell ref="KFU7:KFW7"/>
    <mergeCell ref="KET7:KEV7"/>
    <mergeCell ref="KEW7:KEY7"/>
    <mergeCell ref="KEZ7:KFB7"/>
    <mergeCell ref="KFC7:KFE7"/>
    <mergeCell ref="KFF7:KFH7"/>
    <mergeCell ref="KEE7:KEG7"/>
    <mergeCell ref="KEH7:KEJ7"/>
    <mergeCell ref="KEK7:KEM7"/>
    <mergeCell ref="KEN7:KEP7"/>
    <mergeCell ref="KEQ7:KES7"/>
    <mergeCell ref="KDP7:KDR7"/>
    <mergeCell ref="KDS7:KDU7"/>
    <mergeCell ref="KDV7:KDX7"/>
    <mergeCell ref="KDY7:KEA7"/>
    <mergeCell ref="KEB7:KED7"/>
    <mergeCell ref="KDA7:KDC7"/>
    <mergeCell ref="KDD7:KDF7"/>
    <mergeCell ref="KDG7:KDI7"/>
    <mergeCell ref="KDJ7:KDL7"/>
    <mergeCell ref="KDM7:KDO7"/>
    <mergeCell ref="KCL7:KCN7"/>
    <mergeCell ref="KCO7:KCQ7"/>
    <mergeCell ref="KCR7:KCT7"/>
    <mergeCell ref="KCU7:KCW7"/>
    <mergeCell ref="KCX7:KCZ7"/>
    <mergeCell ref="KBW7:KBY7"/>
    <mergeCell ref="KBZ7:KCB7"/>
    <mergeCell ref="KCC7:KCE7"/>
    <mergeCell ref="KCF7:KCH7"/>
    <mergeCell ref="KCI7:KCK7"/>
    <mergeCell ref="KBH7:KBJ7"/>
    <mergeCell ref="KBK7:KBM7"/>
    <mergeCell ref="KBN7:KBP7"/>
    <mergeCell ref="KBQ7:KBS7"/>
    <mergeCell ref="KBT7:KBV7"/>
    <mergeCell ref="KAS7:KAU7"/>
    <mergeCell ref="KAV7:KAX7"/>
    <mergeCell ref="KAY7:KBA7"/>
    <mergeCell ref="KBB7:KBD7"/>
    <mergeCell ref="KBE7:KBG7"/>
    <mergeCell ref="KAD7:KAF7"/>
    <mergeCell ref="KAG7:KAI7"/>
    <mergeCell ref="KAJ7:KAL7"/>
    <mergeCell ref="KAM7:KAO7"/>
    <mergeCell ref="KAP7:KAR7"/>
    <mergeCell ref="JZO7:JZQ7"/>
    <mergeCell ref="JZR7:JZT7"/>
    <mergeCell ref="JZU7:JZW7"/>
    <mergeCell ref="JZX7:JZZ7"/>
    <mergeCell ref="KAA7:KAC7"/>
    <mergeCell ref="JYZ7:JZB7"/>
    <mergeCell ref="JZC7:JZE7"/>
    <mergeCell ref="JZF7:JZH7"/>
    <mergeCell ref="JZI7:JZK7"/>
    <mergeCell ref="JZL7:JZN7"/>
    <mergeCell ref="JYK7:JYM7"/>
    <mergeCell ref="JYN7:JYP7"/>
    <mergeCell ref="JYQ7:JYS7"/>
    <mergeCell ref="JYT7:JYV7"/>
    <mergeCell ref="JYW7:JYY7"/>
    <mergeCell ref="JXV7:JXX7"/>
    <mergeCell ref="JXY7:JYA7"/>
    <mergeCell ref="JYB7:JYD7"/>
    <mergeCell ref="JYE7:JYG7"/>
    <mergeCell ref="JYH7:JYJ7"/>
    <mergeCell ref="JXG7:JXI7"/>
    <mergeCell ref="JXJ7:JXL7"/>
    <mergeCell ref="JXM7:JXO7"/>
    <mergeCell ref="JXP7:JXR7"/>
    <mergeCell ref="JXS7:JXU7"/>
    <mergeCell ref="JWR7:JWT7"/>
    <mergeCell ref="JWU7:JWW7"/>
    <mergeCell ref="JWX7:JWZ7"/>
    <mergeCell ref="JXA7:JXC7"/>
    <mergeCell ref="JXD7:JXF7"/>
    <mergeCell ref="JWC7:JWE7"/>
    <mergeCell ref="JWF7:JWH7"/>
    <mergeCell ref="JWI7:JWK7"/>
    <mergeCell ref="JWL7:JWN7"/>
    <mergeCell ref="JWO7:JWQ7"/>
    <mergeCell ref="JVN7:JVP7"/>
    <mergeCell ref="JVQ7:JVS7"/>
    <mergeCell ref="JVT7:JVV7"/>
    <mergeCell ref="JVW7:JVY7"/>
    <mergeCell ref="JVZ7:JWB7"/>
    <mergeCell ref="JUY7:JVA7"/>
    <mergeCell ref="JVB7:JVD7"/>
    <mergeCell ref="JVE7:JVG7"/>
    <mergeCell ref="JVH7:JVJ7"/>
    <mergeCell ref="JVK7:JVM7"/>
    <mergeCell ref="JUJ7:JUL7"/>
    <mergeCell ref="JUM7:JUO7"/>
    <mergeCell ref="JUP7:JUR7"/>
    <mergeCell ref="JUS7:JUU7"/>
    <mergeCell ref="JUV7:JUX7"/>
    <mergeCell ref="JTU7:JTW7"/>
    <mergeCell ref="JTX7:JTZ7"/>
    <mergeCell ref="JUA7:JUC7"/>
    <mergeCell ref="JUD7:JUF7"/>
    <mergeCell ref="JUG7:JUI7"/>
    <mergeCell ref="JTF7:JTH7"/>
    <mergeCell ref="JTI7:JTK7"/>
    <mergeCell ref="JTL7:JTN7"/>
    <mergeCell ref="JTO7:JTQ7"/>
    <mergeCell ref="JTR7:JTT7"/>
    <mergeCell ref="JSQ7:JSS7"/>
    <mergeCell ref="JST7:JSV7"/>
    <mergeCell ref="JSW7:JSY7"/>
    <mergeCell ref="JSZ7:JTB7"/>
    <mergeCell ref="JTC7:JTE7"/>
    <mergeCell ref="JSB7:JSD7"/>
    <mergeCell ref="JSE7:JSG7"/>
    <mergeCell ref="JSH7:JSJ7"/>
    <mergeCell ref="JSK7:JSM7"/>
    <mergeCell ref="JSN7:JSP7"/>
    <mergeCell ref="JRM7:JRO7"/>
    <mergeCell ref="JRP7:JRR7"/>
    <mergeCell ref="JRS7:JRU7"/>
    <mergeCell ref="JRV7:JRX7"/>
    <mergeCell ref="JRY7:JSA7"/>
    <mergeCell ref="JQX7:JQZ7"/>
    <mergeCell ref="JRA7:JRC7"/>
    <mergeCell ref="JRD7:JRF7"/>
    <mergeCell ref="JRG7:JRI7"/>
    <mergeCell ref="JRJ7:JRL7"/>
    <mergeCell ref="JQI7:JQK7"/>
    <mergeCell ref="JQL7:JQN7"/>
    <mergeCell ref="JQO7:JQQ7"/>
    <mergeCell ref="JQR7:JQT7"/>
    <mergeCell ref="JQU7:JQW7"/>
    <mergeCell ref="JPT7:JPV7"/>
    <mergeCell ref="JPW7:JPY7"/>
    <mergeCell ref="JPZ7:JQB7"/>
    <mergeCell ref="JQC7:JQE7"/>
    <mergeCell ref="JQF7:JQH7"/>
    <mergeCell ref="JPE7:JPG7"/>
    <mergeCell ref="JPH7:JPJ7"/>
    <mergeCell ref="JPK7:JPM7"/>
    <mergeCell ref="JPN7:JPP7"/>
    <mergeCell ref="JPQ7:JPS7"/>
    <mergeCell ref="JOP7:JOR7"/>
    <mergeCell ref="JOS7:JOU7"/>
    <mergeCell ref="JOV7:JOX7"/>
    <mergeCell ref="JOY7:JPA7"/>
    <mergeCell ref="JPB7:JPD7"/>
    <mergeCell ref="JOA7:JOC7"/>
    <mergeCell ref="JOD7:JOF7"/>
    <mergeCell ref="JOG7:JOI7"/>
    <mergeCell ref="JOJ7:JOL7"/>
    <mergeCell ref="JOM7:JOO7"/>
    <mergeCell ref="JNL7:JNN7"/>
    <mergeCell ref="JNO7:JNQ7"/>
    <mergeCell ref="JNR7:JNT7"/>
    <mergeCell ref="JNU7:JNW7"/>
    <mergeCell ref="JNX7:JNZ7"/>
    <mergeCell ref="JMW7:JMY7"/>
    <mergeCell ref="JMZ7:JNB7"/>
    <mergeCell ref="JNC7:JNE7"/>
    <mergeCell ref="JNF7:JNH7"/>
    <mergeCell ref="JNI7:JNK7"/>
    <mergeCell ref="JMH7:JMJ7"/>
    <mergeCell ref="JMK7:JMM7"/>
    <mergeCell ref="JMN7:JMP7"/>
    <mergeCell ref="JMQ7:JMS7"/>
    <mergeCell ref="JMT7:JMV7"/>
    <mergeCell ref="JLS7:JLU7"/>
    <mergeCell ref="JLV7:JLX7"/>
    <mergeCell ref="JLY7:JMA7"/>
    <mergeCell ref="JMB7:JMD7"/>
    <mergeCell ref="JME7:JMG7"/>
    <mergeCell ref="JLD7:JLF7"/>
    <mergeCell ref="JLG7:JLI7"/>
    <mergeCell ref="JLJ7:JLL7"/>
    <mergeCell ref="JLM7:JLO7"/>
    <mergeCell ref="JLP7:JLR7"/>
    <mergeCell ref="JKO7:JKQ7"/>
    <mergeCell ref="JKR7:JKT7"/>
    <mergeCell ref="JKU7:JKW7"/>
    <mergeCell ref="JKX7:JKZ7"/>
    <mergeCell ref="JLA7:JLC7"/>
    <mergeCell ref="JJZ7:JKB7"/>
    <mergeCell ref="JKC7:JKE7"/>
    <mergeCell ref="JKF7:JKH7"/>
    <mergeCell ref="JKI7:JKK7"/>
    <mergeCell ref="JKL7:JKN7"/>
    <mergeCell ref="JJK7:JJM7"/>
    <mergeCell ref="JJN7:JJP7"/>
    <mergeCell ref="JJQ7:JJS7"/>
    <mergeCell ref="JJT7:JJV7"/>
    <mergeCell ref="JJW7:JJY7"/>
    <mergeCell ref="JIV7:JIX7"/>
    <mergeCell ref="JIY7:JJA7"/>
    <mergeCell ref="JJB7:JJD7"/>
    <mergeCell ref="JJE7:JJG7"/>
    <mergeCell ref="JJH7:JJJ7"/>
    <mergeCell ref="JIG7:JII7"/>
    <mergeCell ref="JIJ7:JIL7"/>
    <mergeCell ref="JIM7:JIO7"/>
    <mergeCell ref="JIP7:JIR7"/>
    <mergeCell ref="JIS7:JIU7"/>
    <mergeCell ref="JHR7:JHT7"/>
    <mergeCell ref="JHU7:JHW7"/>
    <mergeCell ref="JHX7:JHZ7"/>
    <mergeCell ref="JIA7:JIC7"/>
    <mergeCell ref="JID7:JIF7"/>
    <mergeCell ref="JHC7:JHE7"/>
    <mergeCell ref="JHF7:JHH7"/>
    <mergeCell ref="JHI7:JHK7"/>
    <mergeCell ref="JHL7:JHN7"/>
    <mergeCell ref="JHO7:JHQ7"/>
    <mergeCell ref="JGN7:JGP7"/>
    <mergeCell ref="JGQ7:JGS7"/>
    <mergeCell ref="JGT7:JGV7"/>
    <mergeCell ref="JGW7:JGY7"/>
    <mergeCell ref="JGZ7:JHB7"/>
    <mergeCell ref="JFY7:JGA7"/>
    <mergeCell ref="JGB7:JGD7"/>
    <mergeCell ref="JGE7:JGG7"/>
    <mergeCell ref="JGH7:JGJ7"/>
    <mergeCell ref="JGK7:JGM7"/>
    <mergeCell ref="JFJ7:JFL7"/>
    <mergeCell ref="JFM7:JFO7"/>
    <mergeCell ref="JFP7:JFR7"/>
    <mergeCell ref="JFS7:JFU7"/>
    <mergeCell ref="JFV7:JFX7"/>
    <mergeCell ref="JEU7:JEW7"/>
    <mergeCell ref="JEX7:JEZ7"/>
    <mergeCell ref="JFA7:JFC7"/>
    <mergeCell ref="JFD7:JFF7"/>
    <mergeCell ref="JFG7:JFI7"/>
    <mergeCell ref="JEF7:JEH7"/>
    <mergeCell ref="JEI7:JEK7"/>
    <mergeCell ref="JEL7:JEN7"/>
    <mergeCell ref="JEO7:JEQ7"/>
    <mergeCell ref="JER7:JET7"/>
    <mergeCell ref="JDQ7:JDS7"/>
    <mergeCell ref="JDT7:JDV7"/>
    <mergeCell ref="JDW7:JDY7"/>
    <mergeCell ref="JDZ7:JEB7"/>
    <mergeCell ref="JEC7:JEE7"/>
    <mergeCell ref="JDB7:JDD7"/>
    <mergeCell ref="JDE7:JDG7"/>
    <mergeCell ref="JDH7:JDJ7"/>
    <mergeCell ref="JDK7:JDM7"/>
    <mergeCell ref="JDN7:JDP7"/>
    <mergeCell ref="JCM7:JCO7"/>
    <mergeCell ref="JCP7:JCR7"/>
    <mergeCell ref="JCS7:JCU7"/>
    <mergeCell ref="JCV7:JCX7"/>
    <mergeCell ref="JCY7:JDA7"/>
    <mergeCell ref="JBX7:JBZ7"/>
    <mergeCell ref="JCA7:JCC7"/>
    <mergeCell ref="JCD7:JCF7"/>
    <mergeCell ref="JCG7:JCI7"/>
    <mergeCell ref="JCJ7:JCL7"/>
    <mergeCell ref="JBI7:JBK7"/>
    <mergeCell ref="JBL7:JBN7"/>
    <mergeCell ref="JBO7:JBQ7"/>
    <mergeCell ref="JBR7:JBT7"/>
    <mergeCell ref="JBU7:JBW7"/>
    <mergeCell ref="JAT7:JAV7"/>
    <mergeCell ref="JAW7:JAY7"/>
    <mergeCell ref="JAZ7:JBB7"/>
    <mergeCell ref="JBC7:JBE7"/>
    <mergeCell ref="JBF7:JBH7"/>
    <mergeCell ref="JAE7:JAG7"/>
    <mergeCell ref="JAH7:JAJ7"/>
    <mergeCell ref="JAK7:JAM7"/>
    <mergeCell ref="JAN7:JAP7"/>
    <mergeCell ref="JAQ7:JAS7"/>
    <mergeCell ref="IZP7:IZR7"/>
    <mergeCell ref="IZS7:IZU7"/>
    <mergeCell ref="IZV7:IZX7"/>
    <mergeCell ref="IZY7:JAA7"/>
    <mergeCell ref="JAB7:JAD7"/>
    <mergeCell ref="IZA7:IZC7"/>
    <mergeCell ref="IZD7:IZF7"/>
    <mergeCell ref="IZG7:IZI7"/>
    <mergeCell ref="IZJ7:IZL7"/>
    <mergeCell ref="IZM7:IZO7"/>
    <mergeCell ref="IYL7:IYN7"/>
    <mergeCell ref="IYO7:IYQ7"/>
    <mergeCell ref="IYR7:IYT7"/>
    <mergeCell ref="IYU7:IYW7"/>
    <mergeCell ref="IYX7:IYZ7"/>
    <mergeCell ref="IXW7:IXY7"/>
    <mergeCell ref="IXZ7:IYB7"/>
    <mergeCell ref="IYC7:IYE7"/>
    <mergeCell ref="IYF7:IYH7"/>
    <mergeCell ref="IYI7:IYK7"/>
    <mergeCell ref="IXH7:IXJ7"/>
    <mergeCell ref="IXK7:IXM7"/>
    <mergeCell ref="IXN7:IXP7"/>
    <mergeCell ref="IXQ7:IXS7"/>
    <mergeCell ref="IXT7:IXV7"/>
    <mergeCell ref="IWS7:IWU7"/>
    <mergeCell ref="IWV7:IWX7"/>
    <mergeCell ref="IWY7:IXA7"/>
    <mergeCell ref="IXB7:IXD7"/>
    <mergeCell ref="IXE7:IXG7"/>
    <mergeCell ref="IWD7:IWF7"/>
    <mergeCell ref="IWG7:IWI7"/>
    <mergeCell ref="IWJ7:IWL7"/>
    <mergeCell ref="IWM7:IWO7"/>
    <mergeCell ref="IWP7:IWR7"/>
    <mergeCell ref="IVO7:IVQ7"/>
    <mergeCell ref="IVR7:IVT7"/>
    <mergeCell ref="IVU7:IVW7"/>
    <mergeCell ref="IVX7:IVZ7"/>
    <mergeCell ref="IWA7:IWC7"/>
    <mergeCell ref="IUZ7:IVB7"/>
    <mergeCell ref="IVC7:IVE7"/>
    <mergeCell ref="IVF7:IVH7"/>
    <mergeCell ref="IVI7:IVK7"/>
    <mergeCell ref="IVL7:IVN7"/>
    <mergeCell ref="IUK7:IUM7"/>
    <mergeCell ref="IUN7:IUP7"/>
    <mergeCell ref="IUQ7:IUS7"/>
    <mergeCell ref="IUT7:IUV7"/>
    <mergeCell ref="IUW7:IUY7"/>
    <mergeCell ref="ITV7:ITX7"/>
    <mergeCell ref="ITY7:IUA7"/>
    <mergeCell ref="IUB7:IUD7"/>
    <mergeCell ref="IUE7:IUG7"/>
    <mergeCell ref="IUH7:IUJ7"/>
    <mergeCell ref="ITG7:ITI7"/>
    <mergeCell ref="ITJ7:ITL7"/>
    <mergeCell ref="ITM7:ITO7"/>
    <mergeCell ref="ITP7:ITR7"/>
    <mergeCell ref="ITS7:ITU7"/>
    <mergeCell ref="ISR7:IST7"/>
    <mergeCell ref="ISU7:ISW7"/>
    <mergeCell ref="ISX7:ISZ7"/>
    <mergeCell ref="ITA7:ITC7"/>
    <mergeCell ref="ITD7:ITF7"/>
    <mergeCell ref="ISC7:ISE7"/>
    <mergeCell ref="ISF7:ISH7"/>
    <mergeCell ref="ISI7:ISK7"/>
    <mergeCell ref="ISL7:ISN7"/>
    <mergeCell ref="ISO7:ISQ7"/>
    <mergeCell ref="IRN7:IRP7"/>
    <mergeCell ref="IRQ7:IRS7"/>
    <mergeCell ref="IRT7:IRV7"/>
    <mergeCell ref="IRW7:IRY7"/>
    <mergeCell ref="IRZ7:ISB7"/>
    <mergeCell ref="IQY7:IRA7"/>
    <mergeCell ref="IRB7:IRD7"/>
    <mergeCell ref="IRE7:IRG7"/>
    <mergeCell ref="IRH7:IRJ7"/>
    <mergeCell ref="IRK7:IRM7"/>
    <mergeCell ref="IQJ7:IQL7"/>
    <mergeCell ref="IQM7:IQO7"/>
    <mergeCell ref="IQP7:IQR7"/>
    <mergeCell ref="IQS7:IQU7"/>
    <mergeCell ref="IQV7:IQX7"/>
    <mergeCell ref="IPU7:IPW7"/>
    <mergeCell ref="IPX7:IPZ7"/>
    <mergeCell ref="IQA7:IQC7"/>
    <mergeCell ref="IQD7:IQF7"/>
    <mergeCell ref="IQG7:IQI7"/>
    <mergeCell ref="IPF7:IPH7"/>
    <mergeCell ref="IPI7:IPK7"/>
    <mergeCell ref="IPL7:IPN7"/>
    <mergeCell ref="IPO7:IPQ7"/>
    <mergeCell ref="IPR7:IPT7"/>
    <mergeCell ref="IOQ7:IOS7"/>
    <mergeCell ref="IOT7:IOV7"/>
    <mergeCell ref="IOW7:IOY7"/>
    <mergeCell ref="IOZ7:IPB7"/>
    <mergeCell ref="IPC7:IPE7"/>
    <mergeCell ref="IOB7:IOD7"/>
    <mergeCell ref="IOE7:IOG7"/>
    <mergeCell ref="IOH7:IOJ7"/>
    <mergeCell ref="IOK7:IOM7"/>
    <mergeCell ref="ION7:IOP7"/>
    <mergeCell ref="INM7:INO7"/>
    <mergeCell ref="INP7:INR7"/>
    <mergeCell ref="INS7:INU7"/>
    <mergeCell ref="INV7:INX7"/>
    <mergeCell ref="INY7:IOA7"/>
    <mergeCell ref="IMX7:IMZ7"/>
    <mergeCell ref="INA7:INC7"/>
    <mergeCell ref="IND7:INF7"/>
    <mergeCell ref="ING7:INI7"/>
    <mergeCell ref="INJ7:INL7"/>
    <mergeCell ref="IMI7:IMK7"/>
    <mergeCell ref="IML7:IMN7"/>
    <mergeCell ref="IMO7:IMQ7"/>
    <mergeCell ref="IMR7:IMT7"/>
    <mergeCell ref="IMU7:IMW7"/>
    <mergeCell ref="ILT7:ILV7"/>
    <mergeCell ref="ILW7:ILY7"/>
    <mergeCell ref="ILZ7:IMB7"/>
    <mergeCell ref="IMC7:IME7"/>
    <mergeCell ref="IMF7:IMH7"/>
    <mergeCell ref="ILE7:ILG7"/>
    <mergeCell ref="ILH7:ILJ7"/>
    <mergeCell ref="ILK7:ILM7"/>
    <mergeCell ref="ILN7:ILP7"/>
    <mergeCell ref="ILQ7:ILS7"/>
    <mergeCell ref="IKP7:IKR7"/>
    <mergeCell ref="IKS7:IKU7"/>
    <mergeCell ref="IKV7:IKX7"/>
    <mergeCell ref="IKY7:ILA7"/>
    <mergeCell ref="ILB7:ILD7"/>
    <mergeCell ref="IKA7:IKC7"/>
    <mergeCell ref="IKD7:IKF7"/>
    <mergeCell ref="IKG7:IKI7"/>
    <mergeCell ref="IKJ7:IKL7"/>
    <mergeCell ref="IKM7:IKO7"/>
    <mergeCell ref="IJL7:IJN7"/>
    <mergeCell ref="IJO7:IJQ7"/>
    <mergeCell ref="IJR7:IJT7"/>
    <mergeCell ref="IJU7:IJW7"/>
    <mergeCell ref="IJX7:IJZ7"/>
    <mergeCell ref="IIW7:IIY7"/>
    <mergeCell ref="IIZ7:IJB7"/>
    <mergeCell ref="IJC7:IJE7"/>
    <mergeCell ref="IJF7:IJH7"/>
    <mergeCell ref="IJI7:IJK7"/>
    <mergeCell ref="IIH7:IIJ7"/>
    <mergeCell ref="IIK7:IIM7"/>
    <mergeCell ref="IIN7:IIP7"/>
    <mergeCell ref="IIQ7:IIS7"/>
    <mergeCell ref="IIT7:IIV7"/>
    <mergeCell ref="IHS7:IHU7"/>
    <mergeCell ref="IHV7:IHX7"/>
    <mergeCell ref="IHY7:IIA7"/>
    <mergeCell ref="IIB7:IID7"/>
    <mergeCell ref="IIE7:IIG7"/>
    <mergeCell ref="IHD7:IHF7"/>
    <mergeCell ref="IHG7:IHI7"/>
    <mergeCell ref="IHJ7:IHL7"/>
    <mergeCell ref="IHM7:IHO7"/>
    <mergeCell ref="IHP7:IHR7"/>
    <mergeCell ref="IGO7:IGQ7"/>
    <mergeCell ref="IGR7:IGT7"/>
    <mergeCell ref="IGU7:IGW7"/>
    <mergeCell ref="IGX7:IGZ7"/>
    <mergeCell ref="IHA7:IHC7"/>
    <mergeCell ref="IFZ7:IGB7"/>
    <mergeCell ref="IGC7:IGE7"/>
    <mergeCell ref="IGF7:IGH7"/>
    <mergeCell ref="IGI7:IGK7"/>
    <mergeCell ref="IGL7:IGN7"/>
    <mergeCell ref="IFK7:IFM7"/>
    <mergeCell ref="IFN7:IFP7"/>
    <mergeCell ref="IFQ7:IFS7"/>
    <mergeCell ref="IFT7:IFV7"/>
    <mergeCell ref="IFW7:IFY7"/>
    <mergeCell ref="IEV7:IEX7"/>
    <mergeCell ref="IEY7:IFA7"/>
    <mergeCell ref="IFB7:IFD7"/>
    <mergeCell ref="IFE7:IFG7"/>
    <mergeCell ref="IFH7:IFJ7"/>
    <mergeCell ref="IEG7:IEI7"/>
    <mergeCell ref="IEJ7:IEL7"/>
    <mergeCell ref="IEM7:IEO7"/>
    <mergeCell ref="IEP7:IER7"/>
    <mergeCell ref="IES7:IEU7"/>
    <mergeCell ref="IDR7:IDT7"/>
    <mergeCell ref="IDU7:IDW7"/>
    <mergeCell ref="IDX7:IDZ7"/>
    <mergeCell ref="IEA7:IEC7"/>
    <mergeCell ref="IED7:IEF7"/>
    <mergeCell ref="IDC7:IDE7"/>
    <mergeCell ref="IDF7:IDH7"/>
    <mergeCell ref="IDI7:IDK7"/>
    <mergeCell ref="IDL7:IDN7"/>
    <mergeCell ref="IDO7:IDQ7"/>
    <mergeCell ref="ICN7:ICP7"/>
    <mergeCell ref="ICQ7:ICS7"/>
    <mergeCell ref="ICT7:ICV7"/>
    <mergeCell ref="ICW7:ICY7"/>
    <mergeCell ref="ICZ7:IDB7"/>
    <mergeCell ref="IBY7:ICA7"/>
    <mergeCell ref="ICB7:ICD7"/>
    <mergeCell ref="ICE7:ICG7"/>
    <mergeCell ref="ICH7:ICJ7"/>
    <mergeCell ref="ICK7:ICM7"/>
    <mergeCell ref="IBJ7:IBL7"/>
    <mergeCell ref="IBM7:IBO7"/>
    <mergeCell ref="IBP7:IBR7"/>
    <mergeCell ref="IBS7:IBU7"/>
    <mergeCell ref="IBV7:IBX7"/>
    <mergeCell ref="IAU7:IAW7"/>
    <mergeCell ref="IAX7:IAZ7"/>
    <mergeCell ref="IBA7:IBC7"/>
    <mergeCell ref="IBD7:IBF7"/>
    <mergeCell ref="IBG7:IBI7"/>
    <mergeCell ref="IAF7:IAH7"/>
    <mergeCell ref="IAI7:IAK7"/>
    <mergeCell ref="IAL7:IAN7"/>
    <mergeCell ref="IAO7:IAQ7"/>
    <mergeCell ref="IAR7:IAT7"/>
    <mergeCell ref="HZQ7:HZS7"/>
    <mergeCell ref="HZT7:HZV7"/>
    <mergeCell ref="HZW7:HZY7"/>
    <mergeCell ref="HZZ7:IAB7"/>
    <mergeCell ref="IAC7:IAE7"/>
    <mergeCell ref="HZB7:HZD7"/>
    <mergeCell ref="HZE7:HZG7"/>
    <mergeCell ref="HZH7:HZJ7"/>
    <mergeCell ref="HZK7:HZM7"/>
    <mergeCell ref="HZN7:HZP7"/>
    <mergeCell ref="HYM7:HYO7"/>
    <mergeCell ref="HYP7:HYR7"/>
    <mergeCell ref="HYS7:HYU7"/>
    <mergeCell ref="HYV7:HYX7"/>
    <mergeCell ref="HYY7:HZA7"/>
    <mergeCell ref="HXX7:HXZ7"/>
    <mergeCell ref="HYA7:HYC7"/>
    <mergeCell ref="HYD7:HYF7"/>
    <mergeCell ref="HYG7:HYI7"/>
    <mergeCell ref="HYJ7:HYL7"/>
    <mergeCell ref="HXI7:HXK7"/>
    <mergeCell ref="HXL7:HXN7"/>
    <mergeCell ref="HXO7:HXQ7"/>
    <mergeCell ref="HXR7:HXT7"/>
    <mergeCell ref="HXU7:HXW7"/>
    <mergeCell ref="HWT7:HWV7"/>
    <mergeCell ref="HWW7:HWY7"/>
    <mergeCell ref="HWZ7:HXB7"/>
    <mergeCell ref="HXC7:HXE7"/>
    <mergeCell ref="HXF7:HXH7"/>
    <mergeCell ref="HWE7:HWG7"/>
    <mergeCell ref="HWH7:HWJ7"/>
    <mergeCell ref="HWK7:HWM7"/>
    <mergeCell ref="HWN7:HWP7"/>
    <mergeCell ref="HWQ7:HWS7"/>
    <mergeCell ref="HVP7:HVR7"/>
    <mergeCell ref="HVS7:HVU7"/>
    <mergeCell ref="HVV7:HVX7"/>
    <mergeCell ref="HVY7:HWA7"/>
    <mergeCell ref="HWB7:HWD7"/>
    <mergeCell ref="HVA7:HVC7"/>
    <mergeCell ref="HVD7:HVF7"/>
    <mergeCell ref="HVG7:HVI7"/>
    <mergeCell ref="HVJ7:HVL7"/>
    <mergeCell ref="HVM7:HVO7"/>
    <mergeCell ref="HUL7:HUN7"/>
    <mergeCell ref="HUO7:HUQ7"/>
    <mergeCell ref="HUR7:HUT7"/>
    <mergeCell ref="HUU7:HUW7"/>
    <mergeCell ref="HUX7:HUZ7"/>
    <mergeCell ref="HTW7:HTY7"/>
    <mergeCell ref="HTZ7:HUB7"/>
    <mergeCell ref="HUC7:HUE7"/>
    <mergeCell ref="HUF7:HUH7"/>
    <mergeCell ref="HUI7:HUK7"/>
    <mergeCell ref="HTH7:HTJ7"/>
    <mergeCell ref="HTK7:HTM7"/>
    <mergeCell ref="HTN7:HTP7"/>
    <mergeCell ref="HTQ7:HTS7"/>
    <mergeCell ref="HTT7:HTV7"/>
    <mergeCell ref="HSS7:HSU7"/>
    <mergeCell ref="HSV7:HSX7"/>
    <mergeCell ref="HSY7:HTA7"/>
    <mergeCell ref="HTB7:HTD7"/>
    <mergeCell ref="HTE7:HTG7"/>
    <mergeCell ref="HSD7:HSF7"/>
    <mergeCell ref="HSG7:HSI7"/>
    <mergeCell ref="HSJ7:HSL7"/>
    <mergeCell ref="HSM7:HSO7"/>
    <mergeCell ref="HSP7:HSR7"/>
    <mergeCell ref="HRO7:HRQ7"/>
    <mergeCell ref="HRR7:HRT7"/>
    <mergeCell ref="HRU7:HRW7"/>
    <mergeCell ref="HRX7:HRZ7"/>
    <mergeCell ref="HSA7:HSC7"/>
    <mergeCell ref="HQZ7:HRB7"/>
    <mergeCell ref="HRC7:HRE7"/>
    <mergeCell ref="HRF7:HRH7"/>
    <mergeCell ref="HRI7:HRK7"/>
    <mergeCell ref="HRL7:HRN7"/>
    <mergeCell ref="HQK7:HQM7"/>
    <mergeCell ref="HQN7:HQP7"/>
    <mergeCell ref="HQQ7:HQS7"/>
    <mergeCell ref="HQT7:HQV7"/>
    <mergeCell ref="HQW7:HQY7"/>
    <mergeCell ref="HPV7:HPX7"/>
    <mergeCell ref="HPY7:HQA7"/>
    <mergeCell ref="HQB7:HQD7"/>
    <mergeCell ref="HQE7:HQG7"/>
    <mergeCell ref="HQH7:HQJ7"/>
    <mergeCell ref="HPG7:HPI7"/>
    <mergeCell ref="HPJ7:HPL7"/>
    <mergeCell ref="HPM7:HPO7"/>
    <mergeCell ref="HPP7:HPR7"/>
    <mergeCell ref="HPS7:HPU7"/>
    <mergeCell ref="HOR7:HOT7"/>
    <mergeCell ref="HOU7:HOW7"/>
    <mergeCell ref="HOX7:HOZ7"/>
    <mergeCell ref="HPA7:HPC7"/>
    <mergeCell ref="HPD7:HPF7"/>
    <mergeCell ref="HOC7:HOE7"/>
    <mergeCell ref="HOF7:HOH7"/>
    <mergeCell ref="HOI7:HOK7"/>
    <mergeCell ref="HOL7:HON7"/>
    <mergeCell ref="HOO7:HOQ7"/>
    <mergeCell ref="HNN7:HNP7"/>
    <mergeCell ref="HNQ7:HNS7"/>
    <mergeCell ref="HNT7:HNV7"/>
    <mergeCell ref="HNW7:HNY7"/>
    <mergeCell ref="HNZ7:HOB7"/>
    <mergeCell ref="HMY7:HNA7"/>
    <mergeCell ref="HNB7:HND7"/>
    <mergeCell ref="HNE7:HNG7"/>
    <mergeCell ref="HNH7:HNJ7"/>
    <mergeCell ref="HNK7:HNM7"/>
    <mergeCell ref="HMJ7:HML7"/>
    <mergeCell ref="HMM7:HMO7"/>
    <mergeCell ref="HMP7:HMR7"/>
    <mergeCell ref="HMS7:HMU7"/>
    <mergeCell ref="HMV7:HMX7"/>
    <mergeCell ref="HLU7:HLW7"/>
    <mergeCell ref="HLX7:HLZ7"/>
    <mergeCell ref="HMA7:HMC7"/>
    <mergeCell ref="HMD7:HMF7"/>
    <mergeCell ref="HMG7:HMI7"/>
    <mergeCell ref="HLF7:HLH7"/>
    <mergeCell ref="HLI7:HLK7"/>
    <mergeCell ref="HLL7:HLN7"/>
    <mergeCell ref="HLO7:HLQ7"/>
    <mergeCell ref="HLR7:HLT7"/>
    <mergeCell ref="HKQ7:HKS7"/>
    <mergeCell ref="HKT7:HKV7"/>
    <mergeCell ref="HKW7:HKY7"/>
    <mergeCell ref="HKZ7:HLB7"/>
    <mergeCell ref="HLC7:HLE7"/>
    <mergeCell ref="HKB7:HKD7"/>
    <mergeCell ref="HKE7:HKG7"/>
    <mergeCell ref="HKH7:HKJ7"/>
    <mergeCell ref="HKK7:HKM7"/>
    <mergeCell ref="HKN7:HKP7"/>
    <mergeCell ref="HJM7:HJO7"/>
    <mergeCell ref="HJP7:HJR7"/>
    <mergeCell ref="HJS7:HJU7"/>
    <mergeCell ref="HJV7:HJX7"/>
    <mergeCell ref="HJY7:HKA7"/>
    <mergeCell ref="HIX7:HIZ7"/>
    <mergeCell ref="HJA7:HJC7"/>
    <mergeCell ref="HJD7:HJF7"/>
    <mergeCell ref="HJG7:HJI7"/>
    <mergeCell ref="HJJ7:HJL7"/>
    <mergeCell ref="HII7:HIK7"/>
    <mergeCell ref="HIL7:HIN7"/>
    <mergeCell ref="HIO7:HIQ7"/>
    <mergeCell ref="HIR7:HIT7"/>
    <mergeCell ref="HIU7:HIW7"/>
    <mergeCell ref="HHT7:HHV7"/>
    <mergeCell ref="HHW7:HHY7"/>
    <mergeCell ref="HHZ7:HIB7"/>
    <mergeCell ref="HIC7:HIE7"/>
    <mergeCell ref="HIF7:HIH7"/>
    <mergeCell ref="HHE7:HHG7"/>
    <mergeCell ref="HHH7:HHJ7"/>
    <mergeCell ref="HHK7:HHM7"/>
    <mergeCell ref="HHN7:HHP7"/>
    <mergeCell ref="HHQ7:HHS7"/>
    <mergeCell ref="HGP7:HGR7"/>
    <mergeCell ref="HGS7:HGU7"/>
    <mergeCell ref="HGV7:HGX7"/>
    <mergeCell ref="HGY7:HHA7"/>
    <mergeCell ref="HHB7:HHD7"/>
    <mergeCell ref="HGA7:HGC7"/>
    <mergeCell ref="HGD7:HGF7"/>
    <mergeCell ref="HGG7:HGI7"/>
    <mergeCell ref="HGJ7:HGL7"/>
    <mergeCell ref="HGM7:HGO7"/>
    <mergeCell ref="HFL7:HFN7"/>
    <mergeCell ref="HFO7:HFQ7"/>
    <mergeCell ref="HFR7:HFT7"/>
    <mergeCell ref="HFU7:HFW7"/>
    <mergeCell ref="HFX7:HFZ7"/>
    <mergeCell ref="HEW7:HEY7"/>
    <mergeCell ref="HEZ7:HFB7"/>
    <mergeCell ref="HFC7:HFE7"/>
    <mergeCell ref="HFF7:HFH7"/>
    <mergeCell ref="HFI7:HFK7"/>
    <mergeCell ref="HEH7:HEJ7"/>
    <mergeCell ref="HEK7:HEM7"/>
    <mergeCell ref="HEN7:HEP7"/>
    <mergeCell ref="HEQ7:HES7"/>
    <mergeCell ref="HET7:HEV7"/>
    <mergeCell ref="HDS7:HDU7"/>
    <mergeCell ref="HDV7:HDX7"/>
    <mergeCell ref="HDY7:HEA7"/>
    <mergeCell ref="HEB7:HED7"/>
    <mergeCell ref="HEE7:HEG7"/>
    <mergeCell ref="HDD7:HDF7"/>
    <mergeCell ref="HDG7:HDI7"/>
    <mergeCell ref="HDJ7:HDL7"/>
    <mergeCell ref="HDM7:HDO7"/>
    <mergeCell ref="HDP7:HDR7"/>
    <mergeCell ref="HCO7:HCQ7"/>
    <mergeCell ref="HCR7:HCT7"/>
    <mergeCell ref="HCU7:HCW7"/>
    <mergeCell ref="HCX7:HCZ7"/>
    <mergeCell ref="HDA7:HDC7"/>
    <mergeCell ref="HBZ7:HCB7"/>
    <mergeCell ref="HCC7:HCE7"/>
    <mergeCell ref="HCF7:HCH7"/>
    <mergeCell ref="HCI7:HCK7"/>
    <mergeCell ref="HCL7:HCN7"/>
    <mergeCell ref="HBK7:HBM7"/>
    <mergeCell ref="HBN7:HBP7"/>
    <mergeCell ref="HBQ7:HBS7"/>
    <mergeCell ref="HBT7:HBV7"/>
    <mergeCell ref="HBW7:HBY7"/>
    <mergeCell ref="HAV7:HAX7"/>
    <mergeCell ref="HAY7:HBA7"/>
    <mergeCell ref="HBB7:HBD7"/>
    <mergeCell ref="HBE7:HBG7"/>
    <mergeCell ref="HBH7:HBJ7"/>
    <mergeCell ref="HAG7:HAI7"/>
    <mergeCell ref="HAJ7:HAL7"/>
    <mergeCell ref="HAM7:HAO7"/>
    <mergeCell ref="HAP7:HAR7"/>
    <mergeCell ref="HAS7:HAU7"/>
    <mergeCell ref="GZR7:GZT7"/>
    <mergeCell ref="GZU7:GZW7"/>
    <mergeCell ref="GZX7:GZZ7"/>
    <mergeCell ref="HAA7:HAC7"/>
    <mergeCell ref="HAD7:HAF7"/>
    <mergeCell ref="GZC7:GZE7"/>
    <mergeCell ref="GZF7:GZH7"/>
    <mergeCell ref="GZI7:GZK7"/>
    <mergeCell ref="GZL7:GZN7"/>
    <mergeCell ref="GZO7:GZQ7"/>
    <mergeCell ref="GYN7:GYP7"/>
    <mergeCell ref="GYQ7:GYS7"/>
    <mergeCell ref="GYT7:GYV7"/>
    <mergeCell ref="GYW7:GYY7"/>
    <mergeCell ref="GYZ7:GZB7"/>
    <mergeCell ref="GXY7:GYA7"/>
    <mergeCell ref="GYB7:GYD7"/>
    <mergeCell ref="GYE7:GYG7"/>
    <mergeCell ref="GYH7:GYJ7"/>
    <mergeCell ref="GYK7:GYM7"/>
    <mergeCell ref="GXJ7:GXL7"/>
    <mergeCell ref="GXM7:GXO7"/>
    <mergeCell ref="GXP7:GXR7"/>
    <mergeCell ref="GXS7:GXU7"/>
    <mergeCell ref="GXV7:GXX7"/>
    <mergeCell ref="GWU7:GWW7"/>
    <mergeCell ref="GWX7:GWZ7"/>
    <mergeCell ref="GXA7:GXC7"/>
    <mergeCell ref="GXD7:GXF7"/>
    <mergeCell ref="GXG7:GXI7"/>
    <mergeCell ref="GWF7:GWH7"/>
    <mergeCell ref="GWI7:GWK7"/>
    <mergeCell ref="GWL7:GWN7"/>
    <mergeCell ref="GWO7:GWQ7"/>
    <mergeCell ref="GWR7:GWT7"/>
    <mergeCell ref="GVQ7:GVS7"/>
    <mergeCell ref="GVT7:GVV7"/>
    <mergeCell ref="GVW7:GVY7"/>
    <mergeCell ref="GVZ7:GWB7"/>
    <mergeCell ref="GWC7:GWE7"/>
    <mergeCell ref="GVB7:GVD7"/>
    <mergeCell ref="GVE7:GVG7"/>
    <mergeCell ref="GVH7:GVJ7"/>
    <mergeCell ref="GVK7:GVM7"/>
    <mergeCell ref="GVN7:GVP7"/>
    <mergeCell ref="GUM7:GUO7"/>
    <mergeCell ref="GUP7:GUR7"/>
    <mergeCell ref="GUS7:GUU7"/>
    <mergeCell ref="GUV7:GUX7"/>
    <mergeCell ref="GUY7:GVA7"/>
    <mergeCell ref="GTX7:GTZ7"/>
    <mergeCell ref="GUA7:GUC7"/>
    <mergeCell ref="GUD7:GUF7"/>
    <mergeCell ref="GUG7:GUI7"/>
    <mergeCell ref="GUJ7:GUL7"/>
    <mergeCell ref="GTI7:GTK7"/>
    <mergeCell ref="GTL7:GTN7"/>
    <mergeCell ref="GTO7:GTQ7"/>
    <mergeCell ref="GTR7:GTT7"/>
    <mergeCell ref="GTU7:GTW7"/>
    <mergeCell ref="GST7:GSV7"/>
    <mergeCell ref="GSW7:GSY7"/>
    <mergeCell ref="GSZ7:GTB7"/>
    <mergeCell ref="GTC7:GTE7"/>
    <mergeCell ref="GTF7:GTH7"/>
    <mergeCell ref="GSE7:GSG7"/>
    <mergeCell ref="GSH7:GSJ7"/>
    <mergeCell ref="GSK7:GSM7"/>
    <mergeCell ref="GSN7:GSP7"/>
    <mergeCell ref="GSQ7:GSS7"/>
    <mergeCell ref="GRP7:GRR7"/>
    <mergeCell ref="GRS7:GRU7"/>
    <mergeCell ref="GRV7:GRX7"/>
    <mergeCell ref="GRY7:GSA7"/>
    <mergeCell ref="GSB7:GSD7"/>
    <mergeCell ref="GRA7:GRC7"/>
    <mergeCell ref="GRD7:GRF7"/>
    <mergeCell ref="GRG7:GRI7"/>
    <mergeCell ref="GRJ7:GRL7"/>
    <mergeCell ref="GRM7:GRO7"/>
    <mergeCell ref="GQL7:GQN7"/>
    <mergeCell ref="GQO7:GQQ7"/>
    <mergeCell ref="GQR7:GQT7"/>
    <mergeCell ref="GQU7:GQW7"/>
    <mergeCell ref="GQX7:GQZ7"/>
    <mergeCell ref="GPW7:GPY7"/>
    <mergeCell ref="GPZ7:GQB7"/>
    <mergeCell ref="GQC7:GQE7"/>
    <mergeCell ref="GQF7:GQH7"/>
    <mergeCell ref="GQI7:GQK7"/>
    <mergeCell ref="GPH7:GPJ7"/>
    <mergeCell ref="GPK7:GPM7"/>
    <mergeCell ref="GPN7:GPP7"/>
    <mergeCell ref="GPQ7:GPS7"/>
    <mergeCell ref="GPT7:GPV7"/>
    <mergeCell ref="GOS7:GOU7"/>
    <mergeCell ref="GOV7:GOX7"/>
    <mergeCell ref="GOY7:GPA7"/>
    <mergeCell ref="GPB7:GPD7"/>
    <mergeCell ref="GPE7:GPG7"/>
    <mergeCell ref="GOD7:GOF7"/>
    <mergeCell ref="GOG7:GOI7"/>
    <mergeCell ref="GOJ7:GOL7"/>
    <mergeCell ref="GOM7:GOO7"/>
    <mergeCell ref="GOP7:GOR7"/>
    <mergeCell ref="GNO7:GNQ7"/>
    <mergeCell ref="GNR7:GNT7"/>
    <mergeCell ref="GNU7:GNW7"/>
    <mergeCell ref="GNX7:GNZ7"/>
    <mergeCell ref="GOA7:GOC7"/>
    <mergeCell ref="GMZ7:GNB7"/>
    <mergeCell ref="GNC7:GNE7"/>
    <mergeCell ref="GNF7:GNH7"/>
    <mergeCell ref="GNI7:GNK7"/>
    <mergeCell ref="GNL7:GNN7"/>
    <mergeCell ref="GMK7:GMM7"/>
    <mergeCell ref="GMN7:GMP7"/>
    <mergeCell ref="GMQ7:GMS7"/>
    <mergeCell ref="GMT7:GMV7"/>
    <mergeCell ref="GMW7:GMY7"/>
    <mergeCell ref="GLV7:GLX7"/>
    <mergeCell ref="GLY7:GMA7"/>
    <mergeCell ref="GMB7:GMD7"/>
    <mergeCell ref="GME7:GMG7"/>
    <mergeCell ref="GMH7:GMJ7"/>
    <mergeCell ref="GLG7:GLI7"/>
    <mergeCell ref="GLJ7:GLL7"/>
    <mergeCell ref="GLM7:GLO7"/>
    <mergeCell ref="GLP7:GLR7"/>
    <mergeCell ref="GLS7:GLU7"/>
    <mergeCell ref="GKR7:GKT7"/>
    <mergeCell ref="GKU7:GKW7"/>
    <mergeCell ref="GKX7:GKZ7"/>
    <mergeCell ref="GLA7:GLC7"/>
    <mergeCell ref="GLD7:GLF7"/>
    <mergeCell ref="GKC7:GKE7"/>
    <mergeCell ref="GKF7:GKH7"/>
    <mergeCell ref="GKI7:GKK7"/>
    <mergeCell ref="GKL7:GKN7"/>
    <mergeCell ref="GKO7:GKQ7"/>
    <mergeCell ref="GJN7:GJP7"/>
    <mergeCell ref="GJQ7:GJS7"/>
    <mergeCell ref="GJT7:GJV7"/>
    <mergeCell ref="GJW7:GJY7"/>
    <mergeCell ref="GJZ7:GKB7"/>
    <mergeCell ref="GIY7:GJA7"/>
    <mergeCell ref="GJB7:GJD7"/>
    <mergeCell ref="GJE7:GJG7"/>
    <mergeCell ref="GJH7:GJJ7"/>
    <mergeCell ref="GJK7:GJM7"/>
    <mergeCell ref="GIJ7:GIL7"/>
    <mergeCell ref="GIM7:GIO7"/>
    <mergeCell ref="GIP7:GIR7"/>
    <mergeCell ref="GIS7:GIU7"/>
    <mergeCell ref="GIV7:GIX7"/>
    <mergeCell ref="GHU7:GHW7"/>
    <mergeCell ref="GHX7:GHZ7"/>
    <mergeCell ref="GIA7:GIC7"/>
    <mergeCell ref="GID7:GIF7"/>
    <mergeCell ref="GIG7:GII7"/>
    <mergeCell ref="GHF7:GHH7"/>
    <mergeCell ref="GHI7:GHK7"/>
    <mergeCell ref="GHL7:GHN7"/>
    <mergeCell ref="GHO7:GHQ7"/>
    <mergeCell ref="GHR7:GHT7"/>
    <mergeCell ref="GGQ7:GGS7"/>
    <mergeCell ref="GGT7:GGV7"/>
    <mergeCell ref="GGW7:GGY7"/>
    <mergeCell ref="GGZ7:GHB7"/>
    <mergeCell ref="GHC7:GHE7"/>
    <mergeCell ref="GGB7:GGD7"/>
    <mergeCell ref="GGE7:GGG7"/>
    <mergeCell ref="GGH7:GGJ7"/>
    <mergeCell ref="GGK7:GGM7"/>
    <mergeCell ref="GGN7:GGP7"/>
    <mergeCell ref="GFM7:GFO7"/>
    <mergeCell ref="GFP7:GFR7"/>
    <mergeCell ref="GFS7:GFU7"/>
    <mergeCell ref="GFV7:GFX7"/>
    <mergeCell ref="GFY7:GGA7"/>
    <mergeCell ref="GEX7:GEZ7"/>
    <mergeCell ref="GFA7:GFC7"/>
    <mergeCell ref="GFD7:GFF7"/>
    <mergeCell ref="GFG7:GFI7"/>
    <mergeCell ref="GFJ7:GFL7"/>
    <mergeCell ref="GEI7:GEK7"/>
    <mergeCell ref="GEL7:GEN7"/>
    <mergeCell ref="GEO7:GEQ7"/>
    <mergeCell ref="GER7:GET7"/>
    <mergeCell ref="GEU7:GEW7"/>
    <mergeCell ref="GDT7:GDV7"/>
    <mergeCell ref="GDW7:GDY7"/>
    <mergeCell ref="GDZ7:GEB7"/>
    <mergeCell ref="GEC7:GEE7"/>
    <mergeCell ref="GEF7:GEH7"/>
    <mergeCell ref="GDE7:GDG7"/>
    <mergeCell ref="GDH7:GDJ7"/>
    <mergeCell ref="GDK7:GDM7"/>
    <mergeCell ref="GDN7:GDP7"/>
    <mergeCell ref="GDQ7:GDS7"/>
    <mergeCell ref="GCP7:GCR7"/>
    <mergeCell ref="GCS7:GCU7"/>
    <mergeCell ref="GCV7:GCX7"/>
    <mergeCell ref="GCY7:GDA7"/>
    <mergeCell ref="GDB7:GDD7"/>
    <mergeCell ref="GCA7:GCC7"/>
    <mergeCell ref="GCD7:GCF7"/>
    <mergeCell ref="GCG7:GCI7"/>
    <mergeCell ref="GCJ7:GCL7"/>
    <mergeCell ref="GCM7:GCO7"/>
    <mergeCell ref="GBL7:GBN7"/>
    <mergeCell ref="GBO7:GBQ7"/>
    <mergeCell ref="GBR7:GBT7"/>
    <mergeCell ref="GBU7:GBW7"/>
    <mergeCell ref="GBX7:GBZ7"/>
    <mergeCell ref="GAW7:GAY7"/>
    <mergeCell ref="GAZ7:GBB7"/>
    <mergeCell ref="GBC7:GBE7"/>
    <mergeCell ref="GBF7:GBH7"/>
    <mergeCell ref="GBI7:GBK7"/>
    <mergeCell ref="GAH7:GAJ7"/>
    <mergeCell ref="GAK7:GAM7"/>
    <mergeCell ref="GAN7:GAP7"/>
    <mergeCell ref="GAQ7:GAS7"/>
    <mergeCell ref="GAT7:GAV7"/>
    <mergeCell ref="FZS7:FZU7"/>
    <mergeCell ref="FZV7:FZX7"/>
    <mergeCell ref="FZY7:GAA7"/>
    <mergeCell ref="GAB7:GAD7"/>
    <mergeCell ref="GAE7:GAG7"/>
    <mergeCell ref="FZD7:FZF7"/>
    <mergeCell ref="FZG7:FZI7"/>
    <mergeCell ref="FZJ7:FZL7"/>
    <mergeCell ref="FZM7:FZO7"/>
    <mergeCell ref="FZP7:FZR7"/>
    <mergeCell ref="FYO7:FYQ7"/>
    <mergeCell ref="FYR7:FYT7"/>
    <mergeCell ref="FYU7:FYW7"/>
    <mergeCell ref="FYX7:FYZ7"/>
    <mergeCell ref="FZA7:FZC7"/>
    <mergeCell ref="FXZ7:FYB7"/>
    <mergeCell ref="FYC7:FYE7"/>
    <mergeCell ref="FYF7:FYH7"/>
    <mergeCell ref="FYI7:FYK7"/>
    <mergeCell ref="FYL7:FYN7"/>
    <mergeCell ref="FXK7:FXM7"/>
    <mergeCell ref="FXN7:FXP7"/>
    <mergeCell ref="FXQ7:FXS7"/>
    <mergeCell ref="FXT7:FXV7"/>
    <mergeCell ref="FXW7:FXY7"/>
    <mergeCell ref="FWV7:FWX7"/>
    <mergeCell ref="FWY7:FXA7"/>
    <mergeCell ref="FXB7:FXD7"/>
    <mergeCell ref="FXE7:FXG7"/>
    <mergeCell ref="FXH7:FXJ7"/>
    <mergeCell ref="FWG7:FWI7"/>
    <mergeCell ref="FWJ7:FWL7"/>
    <mergeCell ref="FWM7:FWO7"/>
    <mergeCell ref="FWP7:FWR7"/>
    <mergeCell ref="FWS7:FWU7"/>
    <mergeCell ref="FVR7:FVT7"/>
    <mergeCell ref="FVU7:FVW7"/>
    <mergeCell ref="FVX7:FVZ7"/>
    <mergeCell ref="FWA7:FWC7"/>
    <mergeCell ref="FWD7:FWF7"/>
    <mergeCell ref="FVC7:FVE7"/>
    <mergeCell ref="FVF7:FVH7"/>
    <mergeCell ref="FVI7:FVK7"/>
    <mergeCell ref="FVL7:FVN7"/>
    <mergeCell ref="FVO7:FVQ7"/>
    <mergeCell ref="FUN7:FUP7"/>
    <mergeCell ref="FUQ7:FUS7"/>
    <mergeCell ref="FUT7:FUV7"/>
    <mergeCell ref="FUW7:FUY7"/>
    <mergeCell ref="FUZ7:FVB7"/>
    <mergeCell ref="FTY7:FUA7"/>
    <mergeCell ref="FUB7:FUD7"/>
    <mergeCell ref="FUE7:FUG7"/>
    <mergeCell ref="FUH7:FUJ7"/>
    <mergeCell ref="FUK7:FUM7"/>
    <mergeCell ref="FTJ7:FTL7"/>
    <mergeCell ref="FTM7:FTO7"/>
    <mergeCell ref="FTP7:FTR7"/>
    <mergeCell ref="FTS7:FTU7"/>
    <mergeCell ref="FTV7:FTX7"/>
    <mergeCell ref="FSU7:FSW7"/>
    <mergeCell ref="FSX7:FSZ7"/>
    <mergeCell ref="FTA7:FTC7"/>
    <mergeCell ref="FTD7:FTF7"/>
    <mergeCell ref="FTG7:FTI7"/>
    <mergeCell ref="FSF7:FSH7"/>
    <mergeCell ref="FSI7:FSK7"/>
    <mergeCell ref="FSL7:FSN7"/>
    <mergeCell ref="FSO7:FSQ7"/>
    <mergeCell ref="FSR7:FST7"/>
    <mergeCell ref="FRQ7:FRS7"/>
    <mergeCell ref="FRT7:FRV7"/>
    <mergeCell ref="FRW7:FRY7"/>
    <mergeCell ref="FRZ7:FSB7"/>
    <mergeCell ref="FSC7:FSE7"/>
    <mergeCell ref="FRB7:FRD7"/>
    <mergeCell ref="FRE7:FRG7"/>
    <mergeCell ref="FRH7:FRJ7"/>
    <mergeCell ref="FRK7:FRM7"/>
    <mergeCell ref="FRN7:FRP7"/>
    <mergeCell ref="FQM7:FQO7"/>
    <mergeCell ref="FQP7:FQR7"/>
    <mergeCell ref="FQS7:FQU7"/>
    <mergeCell ref="FQV7:FQX7"/>
    <mergeCell ref="FQY7:FRA7"/>
    <mergeCell ref="FPX7:FPZ7"/>
    <mergeCell ref="FQA7:FQC7"/>
    <mergeCell ref="FQD7:FQF7"/>
    <mergeCell ref="FQG7:FQI7"/>
    <mergeCell ref="FQJ7:FQL7"/>
    <mergeCell ref="FPI7:FPK7"/>
    <mergeCell ref="FPL7:FPN7"/>
    <mergeCell ref="FPO7:FPQ7"/>
    <mergeCell ref="FPR7:FPT7"/>
    <mergeCell ref="FPU7:FPW7"/>
    <mergeCell ref="FOT7:FOV7"/>
    <mergeCell ref="FOW7:FOY7"/>
    <mergeCell ref="FOZ7:FPB7"/>
    <mergeCell ref="FPC7:FPE7"/>
    <mergeCell ref="FPF7:FPH7"/>
    <mergeCell ref="FOE7:FOG7"/>
    <mergeCell ref="FOH7:FOJ7"/>
    <mergeCell ref="FOK7:FOM7"/>
    <mergeCell ref="FON7:FOP7"/>
    <mergeCell ref="FOQ7:FOS7"/>
    <mergeCell ref="FNP7:FNR7"/>
    <mergeCell ref="FNS7:FNU7"/>
    <mergeCell ref="FNV7:FNX7"/>
    <mergeCell ref="FNY7:FOA7"/>
    <mergeCell ref="FOB7:FOD7"/>
    <mergeCell ref="FNA7:FNC7"/>
    <mergeCell ref="FND7:FNF7"/>
    <mergeCell ref="FNG7:FNI7"/>
    <mergeCell ref="FNJ7:FNL7"/>
    <mergeCell ref="FNM7:FNO7"/>
    <mergeCell ref="FML7:FMN7"/>
    <mergeCell ref="FMO7:FMQ7"/>
    <mergeCell ref="FMR7:FMT7"/>
    <mergeCell ref="FMU7:FMW7"/>
    <mergeCell ref="FMX7:FMZ7"/>
    <mergeCell ref="FLW7:FLY7"/>
    <mergeCell ref="FLZ7:FMB7"/>
    <mergeCell ref="FMC7:FME7"/>
    <mergeCell ref="FMF7:FMH7"/>
    <mergeCell ref="FMI7:FMK7"/>
    <mergeCell ref="FLH7:FLJ7"/>
    <mergeCell ref="FLK7:FLM7"/>
    <mergeCell ref="FLN7:FLP7"/>
    <mergeCell ref="FLQ7:FLS7"/>
    <mergeCell ref="FLT7:FLV7"/>
    <mergeCell ref="FKS7:FKU7"/>
    <mergeCell ref="FKV7:FKX7"/>
    <mergeCell ref="FKY7:FLA7"/>
    <mergeCell ref="FLB7:FLD7"/>
    <mergeCell ref="FLE7:FLG7"/>
    <mergeCell ref="FKD7:FKF7"/>
    <mergeCell ref="FKG7:FKI7"/>
    <mergeCell ref="FKJ7:FKL7"/>
    <mergeCell ref="FKM7:FKO7"/>
    <mergeCell ref="FKP7:FKR7"/>
    <mergeCell ref="FJO7:FJQ7"/>
    <mergeCell ref="FJR7:FJT7"/>
    <mergeCell ref="FJU7:FJW7"/>
    <mergeCell ref="FJX7:FJZ7"/>
    <mergeCell ref="FKA7:FKC7"/>
    <mergeCell ref="FIZ7:FJB7"/>
    <mergeCell ref="FJC7:FJE7"/>
    <mergeCell ref="FJF7:FJH7"/>
    <mergeCell ref="FJI7:FJK7"/>
    <mergeCell ref="FJL7:FJN7"/>
    <mergeCell ref="FIK7:FIM7"/>
    <mergeCell ref="FIN7:FIP7"/>
    <mergeCell ref="FIQ7:FIS7"/>
    <mergeCell ref="FIT7:FIV7"/>
    <mergeCell ref="FIW7:FIY7"/>
    <mergeCell ref="FHV7:FHX7"/>
    <mergeCell ref="FHY7:FIA7"/>
    <mergeCell ref="FIB7:FID7"/>
    <mergeCell ref="FIE7:FIG7"/>
    <mergeCell ref="FIH7:FIJ7"/>
    <mergeCell ref="FHG7:FHI7"/>
    <mergeCell ref="FHJ7:FHL7"/>
    <mergeCell ref="FHM7:FHO7"/>
    <mergeCell ref="FHP7:FHR7"/>
    <mergeCell ref="FHS7:FHU7"/>
    <mergeCell ref="FGR7:FGT7"/>
    <mergeCell ref="FGU7:FGW7"/>
    <mergeCell ref="FGX7:FGZ7"/>
    <mergeCell ref="FHA7:FHC7"/>
    <mergeCell ref="FHD7:FHF7"/>
    <mergeCell ref="FGC7:FGE7"/>
    <mergeCell ref="FGF7:FGH7"/>
    <mergeCell ref="FGI7:FGK7"/>
    <mergeCell ref="FGL7:FGN7"/>
    <mergeCell ref="FGO7:FGQ7"/>
    <mergeCell ref="FFN7:FFP7"/>
    <mergeCell ref="FFQ7:FFS7"/>
    <mergeCell ref="FFT7:FFV7"/>
    <mergeCell ref="FFW7:FFY7"/>
    <mergeCell ref="FFZ7:FGB7"/>
    <mergeCell ref="FEY7:FFA7"/>
    <mergeCell ref="FFB7:FFD7"/>
    <mergeCell ref="FFE7:FFG7"/>
    <mergeCell ref="FFH7:FFJ7"/>
    <mergeCell ref="FFK7:FFM7"/>
    <mergeCell ref="FEJ7:FEL7"/>
    <mergeCell ref="FEM7:FEO7"/>
    <mergeCell ref="FEP7:FER7"/>
    <mergeCell ref="FES7:FEU7"/>
    <mergeCell ref="FEV7:FEX7"/>
    <mergeCell ref="FDU7:FDW7"/>
    <mergeCell ref="FDX7:FDZ7"/>
    <mergeCell ref="FEA7:FEC7"/>
    <mergeCell ref="FED7:FEF7"/>
    <mergeCell ref="FEG7:FEI7"/>
    <mergeCell ref="FDF7:FDH7"/>
    <mergeCell ref="FDI7:FDK7"/>
    <mergeCell ref="FDL7:FDN7"/>
    <mergeCell ref="FDO7:FDQ7"/>
    <mergeCell ref="FDR7:FDT7"/>
    <mergeCell ref="FCQ7:FCS7"/>
    <mergeCell ref="FCT7:FCV7"/>
    <mergeCell ref="FCW7:FCY7"/>
    <mergeCell ref="FCZ7:FDB7"/>
    <mergeCell ref="FDC7:FDE7"/>
    <mergeCell ref="FCB7:FCD7"/>
    <mergeCell ref="FCE7:FCG7"/>
    <mergeCell ref="FCH7:FCJ7"/>
    <mergeCell ref="FCK7:FCM7"/>
    <mergeCell ref="FCN7:FCP7"/>
    <mergeCell ref="FBM7:FBO7"/>
    <mergeCell ref="FBP7:FBR7"/>
    <mergeCell ref="FBS7:FBU7"/>
    <mergeCell ref="FBV7:FBX7"/>
    <mergeCell ref="FBY7:FCA7"/>
    <mergeCell ref="FAX7:FAZ7"/>
    <mergeCell ref="FBA7:FBC7"/>
    <mergeCell ref="FBD7:FBF7"/>
    <mergeCell ref="FBG7:FBI7"/>
    <mergeCell ref="FBJ7:FBL7"/>
    <mergeCell ref="FAI7:FAK7"/>
    <mergeCell ref="FAL7:FAN7"/>
    <mergeCell ref="FAO7:FAQ7"/>
    <mergeCell ref="FAR7:FAT7"/>
    <mergeCell ref="FAU7:FAW7"/>
    <mergeCell ref="EZT7:EZV7"/>
    <mergeCell ref="EZW7:EZY7"/>
    <mergeCell ref="EZZ7:FAB7"/>
    <mergeCell ref="FAC7:FAE7"/>
    <mergeCell ref="FAF7:FAH7"/>
    <mergeCell ref="EZE7:EZG7"/>
    <mergeCell ref="EZH7:EZJ7"/>
    <mergeCell ref="EZK7:EZM7"/>
    <mergeCell ref="EZN7:EZP7"/>
    <mergeCell ref="EZQ7:EZS7"/>
    <mergeCell ref="EYP7:EYR7"/>
    <mergeCell ref="EYS7:EYU7"/>
    <mergeCell ref="EYV7:EYX7"/>
    <mergeCell ref="EYY7:EZA7"/>
    <mergeCell ref="EZB7:EZD7"/>
    <mergeCell ref="EYA7:EYC7"/>
    <mergeCell ref="EYD7:EYF7"/>
    <mergeCell ref="EYG7:EYI7"/>
    <mergeCell ref="EYJ7:EYL7"/>
    <mergeCell ref="EYM7:EYO7"/>
    <mergeCell ref="EXL7:EXN7"/>
    <mergeCell ref="EXO7:EXQ7"/>
    <mergeCell ref="EXR7:EXT7"/>
    <mergeCell ref="EXU7:EXW7"/>
    <mergeCell ref="EXX7:EXZ7"/>
    <mergeCell ref="EWW7:EWY7"/>
    <mergeCell ref="EWZ7:EXB7"/>
    <mergeCell ref="EXC7:EXE7"/>
    <mergeCell ref="EXF7:EXH7"/>
    <mergeCell ref="EXI7:EXK7"/>
    <mergeCell ref="EWH7:EWJ7"/>
    <mergeCell ref="EWK7:EWM7"/>
    <mergeCell ref="EWN7:EWP7"/>
    <mergeCell ref="EWQ7:EWS7"/>
    <mergeCell ref="EWT7:EWV7"/>
    <mergeCell ref="EVS7:EVU7"/>
    <mergeCell ref="EVV7:EVX7"/>
    <mergeCell ref="EVY7:EWA7"/>
    <mergeCell ref="EWB7:EWD7"/>
    <mergeCell ref="EWE7:EWG7"/>
    <mergeCell ref="EVD7:EVF7"/>
    <mergeCell ref="EVG7:EVI7"/>
    <mergeCell ref="EVJ7:EVL7"/>
    <mergeCell ref="EVM7:EVO7"/>
    <mergeCell ref="EVP7:EVR7"/>
    <mergeCell ref="EUO7:EUQ7"/>
    <mergeCell ref="EUR7:EUT7"/>
    <mergeCell ref="EUU7:EUW7"/>
    <mergeCell ref="EUX7:EUZ7"/>
    <mergeCell ref="EVA7:EVC7"/>
    <mergeCell ref="ETZ7:EUB7"/>
    <mergeCell ref="EUC7:EUE7"/>
    <mergeCell ref="EUF7:EUH7"/>
    <mergeCell ref="EUI7:EUK7"/>
    <mergeCell ref="EUL7:EUN7"/>
    <mergeCell ref="ETK7:ETM7"/>
    <mergeCell ref="ETN7:ETP7"/>
    <mergeCell ref="ETQ7:ETS7"/>
    <mergeCell ref="ETT7:ETV7"/>
    <mergeCell ref="ETW7:ETY7"/>
    <mergeCell ref="ESV7:ESX7"/>
    <mergeCell ref="ESY7:ETA7"/>
    <mergeCell ref="ETB7:ETD7"/>
    <mergeCell ref="ETE7:ETG7"/>
    <mergeCell ref="ETH7:ETJ7"/>
    <mergeCell ref="ESG7:ESI7"/>
    <mergeCell ref="ESJ7:ESL7"/>
    <mergeCell ref="ESM7:ESO7"/>
    <mergeCell ref="ESP7:ESR7"/>
    <mergeCell ref="ESS7:ESU7"/>
    <mergeCell ref="ERR7:ERT7"/>
    <mergeCell ref="ERU7:ERW7"/>
    <mergeCell ref="ERX7:ERZ7"/>
    <mergeCell ref="ESA7:ESC7"/>
    <mergeCell ref="ESD7:ESF7"/>
    <mergeCell ref="ERC7:ERE7"/>
    <mergeCell ref="ERF7:ERH7"/>
    <mergeCell ref="ERI7:ERK7"/>
    <mergeCell ref="ERL7:ERN7"/>
    <mergeCell ref="ERO7:ERQ7"/>
    <mergeCell ref="EQN7:EQP7"/>
    <mergeCell ref="EQQ7:EQS7"/>
    <mergeCell ref="EQT7:EQV7"/>
    <mergeCell ref="EQW7:EQY7"/>
    <mergeCell ref="EQZ7:ERB7"/>
    <mergeCell ref="EPY7:EQA7"/>
    <mergeCell ref="EQB7:EQD7"/>
    <mergeCell ref="EQE7:EQG7"/>
    <mergeCell ref="EQH7:EQJ7"/>
    <mergeCell ref="EQK7:EQM7"/>
    <mergeCell ref="EPJ7:EPL7"/>
    <mergeCell ref="EPM7:EPO7"/>
    <mergeCell ref="EPP7:EPR7"/>
    <mergeCell ref="EPS7:EPU7"/>
    <mergeCell ref="EPV7:EPX7"/>
    <mergeCell ref="EOU7:EOW7"/>
    <mergeCell ref="EOX7:EOZ7"/>
    <mergeCell ref="EPA7:EPC7"/>
    <mergeCell ref="EPD7:EPF7"/>
    <mergeCell ref="EPG7:EPI7"/>
    <mergeCell ref="EOF7:EOH7"/>
    <mergeCell ref="EOI7:EOK7"/>
    <mergeCell ref="EOL7:EON7"/>
    <mergeCell ref="EOO7:EOQ7"/>
    <mergeCell ref="EOR7:EOT7"/>
    <mergeCell ref="ENQ7:ENS7"/>
    <mergeCell ref="ENT7:ENV7"/>
    <mergeCell ref="ENW7:ENY7"/>
    <mergeCell ref="ENZ7:EOB7"/>
    <mergeCell ref="EOC7:EOE7"/>
    <mergeCell ref="ENB7:END7"/>
    <mergeCell ref="ENE7:ENG7"/>
    <mergeCell ref="ENH7:ENJ7"/>
    <mergeCell ref="ENK7:ENM7"/>
    <mergeCell ref="ENN7:ENP7"/>
    <mergeCell ref="EMM7:EMO7"/>
    <mergeCell ref="EMP7:EMR7"/>
    <mergeCell ref="EMS7:EMU7"/>
    <mergeCell ref="EMV7:EMX7"/>
    <mergeCell ref="EMY7:ENA7"/>
    <mergeCell ref="ELX7:ELZ7"/>
    <mergeCell ref="EMA7:EMC7"/>
    <mergeCell ref="EMD7:EMF7"/>
    <mergeCell ref="EMG7:EMI7"/>
    <mergeCell ref="EMJ7:EML7"/>
    <mergeCell ref="ELI7:ELK7"/>
    <mergeCell ref="ELL7:ELN7"/>
    <mergeCell ref="ELO7:ELQ7"/>
    <mergeCell ref="ELR7:ELT7"/>
    <mergeCell ref="ELU7:ELW7"/>
    <mergeCell ref="EKT7:EKV7"/>
    <mergeCell ref="EKW7:EKY7"/>
    <mergeCell ref="EKZ7:ELB7"/>
    <mergeCell ref="ELC7:ELE7"/>
    <mergeCell ref="ELF7:ELH7"/>
    <mergeCell ref="EKE7:EKG7"/>
    <mergeCell ref="EKH7:EKJ7"/>
    <mergeCell ref="EKK7:EKM7"/>
    <mergeCell ref="EKN7:EKP7"/>
    <mergeCell ref="EKQ7:EKS7"/>
    <mergeCell ref="EJP7:EJR7"/>
    <mergeCell ref="EJS7:EJU7"/>
    <mergeCell ref="EJV7:EJX7"/>
    <mergeCell ref="EJY7:EKA7"/>
    <mergeCell ref="EKB7:EKD7"/>
    <mergeCell ref="EJA7:EJC7"/>
    <mergeCell ref="EJD7:EJF7"/>
    <mergeCell ref="EJG7:EJI7"/>
    <mergeCell ref="EJJ7:EJL7"/>
    <mergeCell ref="EJM7:EJO7"/>
    <mergeCell ref="EIL7:EIN7"/>
    <mergeCell ref="EIO7:EIQ7"/>
    <mergeCell ref="EIR7:EIT7"/>
    <mergeCell ref="EIU7:EIW7"/>
    <mergeCell ref="EIX7:EIZ7"/>
    <mergeCell ref="EHW7:EHY7"/>
    <mergeCell ref="EHZ7:EIB7"/>
    <mergeCell ref="EIC7:EIE7"/>
    <mergeCell ref="EIF7:EIH7"/>
    <mergeCell ref="EII7:EIK7"/>
    <mergeCell ref="EHH7:EHJ7"/>
    <mergeCell ref="EHK7:EHM7"/>
    <mergeCell ref="EHN7:EHP7"/>
    <mergeCell ref="EHQ7:EHS7"/>
    <mergeCell ref="EHT7:EHV7"/>
    <mergeCell ref="EGS7:EGU7"/>
    <mergeCell ref="EGV7:EGX7"/>
    <mergeCell ref="EGY7:EHA7"/>
    <mergeCell ref="EHB7:EHD7"/>
    <mergeCell ref="EHE7:EHG7"/>
    <mergeCell ref="EGD7:EGF7"/>
    <mergeCell ref="EGG7:EGI7"/>
    <mergeCell ref="EGJ7:EGL7"/>
    <mergeCell ref="EGM7:EGO7"/>
    <mergeCell ref="EGP7:EGR7"/>
    <mergeCell ref="EFO7:EFQ7"/>
    <mergeCell ref="EFR7:EFT7"/>
    <mergeCell ref="EFU7:EFW7"/>
    <mergeCell ref="EFX7:EFZ7"/>
    <mergeCell ref="EGA7:EGC7"/>
    <mergeCell ref="EEZ7:EFB7"/>
    <mergeCell ref="EFC7:EFE7"/>
    <mergeCell ref="EFF7:EFH7"/>
    <mergeCell ref="EFI7:EFK7"/>
    <mergeCell ref="EFL7:EFN7"/>
    <mergeCell ref="EEK7:EEM7"/>
    <mergeCell ref="EEN7:EEP7"/>
    <mergeCell ref="EEQ7:EES7"/>
    <mergeCell ref="EET7:EEV7"/>
    <mergeCell ref="EEW7:EEY7"/>
    <mergeCell ref="EDV7:EDX7"/>
    <mergeCell ref="EDY7:EEA7"/>
    <mergeCell ref="EEB7:EED7"/>
    <mergeCell ref="EEE7:EEG7"/>
    <mergeCell ref="EEH7:EEJ7"/>
    <mergeCell ref="EDG7:EDI7"/>
    <mergeCell ref="EDJ7:EDL7"/>
    <mergeCell ref="EDM7:EDO7"/>
    <mergeCell ref="EDP7:EDR7"/>
    <mergeCell ref="EDS7:EDU7"/>
    <mergeCell ref="ECR7:ECT7"/>
    <mergeCell ref="ECU7:ECW7"/>
    <mergeCell ref="ECX7:ECZ7"/>
    <mergeCell ref="EDA7:EDC7"/>
    <mergeCell ref="EDD7:EDF7"/>
    <mergeCell ref="ECC7:ECE7"/>
    <mergeCell ref="ECF7:ECH7"/>
    <mergeCell ref="ECI7:ECK7"/>
    <mergeCell ref="ECL7:ECN7"/>
    <mergeCell ref="ECO7:ECQ7"/>
    <mergeCell ref="EBN7:EBP7"/>
    <mergeCell ref="EBQ7:EBS7"/>
    <mergeCell ref="EBT7:EBV7"/>
    <mergeCell ref="EBW7:EBY7"/>
    <mergeCell ref="EBZ7:ECB7"/>
    <mergeCell ref="EAY7:EBA7"/>
    <mergeCell ref="EBB7:EBD7"/>
    <mergeCell ref="EBE7:EBG7"/>
    <mergeCell ref="EBH7:EBJ7"/>
    <mergeCell ref="EBK7:EBM7"/>
    <mergeCell ref="EAJ7:EAL7"/>
    <mergeCell ref="EAM7:EAO7"/>
    <mergeCell ref="EAP7:EAR7"/>
    <mergeCell ref="EAS7:EAU7"/>
    <mergeCell ref="EAV7:EAX7"/>
    <mergeCell ref="DZU7:DZW7"/>
    <mergeCell ref="DZX7:DZZ7"/>
    <mergeCell ref="EAA7:EAC7"/>
    <mergeCell ref="EAD7:EAF7"/>
    <mergeCell ref="EAG7:EAI7"/>
    <mergeCell ref="DZF7:DZH7"/>
    <mergeCell ref="DZI7:DZK7"/>
    <mergeCell ref="DZL7:DZN7"/>
    <mergeCell ref="DZO7:DZQ7"/>
    <mergeCell ref="DZR7:DZT7"/>
    <mergeCell ref="DYQ7:DYS7"/>
    <mergeCell ref="DYT7:DYV7"/>
    <mergeCell ref="DYW7:DYY7"/>
    <mergeCell ref="DYZ7:DZB7"/>
    <mergeCell ref="DZC7:DZE7"/>
    <mergeCell ref="DYB7:DYD7"/>
    <mergeCell ref="DYE7:DYG7"/>
    <mergeCell ref="DYH7:DYJ7"/>
    <mergeCell ref="DYK7:DYM7"/>
    <mergeCell ref="DYN7:DYP7"/>
    <mergeCell ref="DXM7:DXO7"/>
    <mergeCell ref="DXP7:DXR7"/>
    <mergeCell ref="DXS7:DXU7"/>
    <mergeCell ref="DXV7:DXX7"/>
    <mergeCell ref="DXY7:DYA7"/>
    <mergeCell ref="DWX7:DWZ7"/>
    <mergeCell ref="DXA7:DXC7"/>
    <mergeCell ref="DXD7:DXF7"/>
    <mergeCell ref="DXG7:DXI7"/>
    <mergeCell ref="DXJ7:DXL7"/>
    <mergeCell ref="DWI7:DWK7"/>
    <mergeCell ref="DWL7:DWN7"/>
    <mergeCell ref="DWO7:DWQ7"/>
    <mergeCell ref="DWR7:DWT7"/>
    <mergeCell ref="DWU7:DWW7"/>
    <mergeCell ref="DVT7:DVV7"/>
    <mergeCell ref="DVW7:DVY7"/>
    <mergeCell ref="DVZ7:DWB7"/>
    <mergeCell ref="DWC7:DWE7"/>
    <mergeCell ref="DWF7:DWH7"/>
    <mergeCell ref="DVE7:DVG7"/>
    <mergeCell ref="DVH7:DVJ7"/>
    <mergeCell ref="DVK7:DVM7"/>
    <mergeCell ref="DVN7:DVP7"/>
    <mergeCell ref="DVQ7:DVS7"/>
    <mergeCell ref="DUP7:DUR7"/>
    <mergeCell ref="DUS7:DUU7"/>
    <mergeCell ref="DUV7:DUX7"/>
    <mergeCell ref="DUY7:DVA7"/>
    <mergeCell ref="DVB7:DVD7"/>
    <mergeCell ref="DUA7:DUC7"/>
    <mergeCell ref="DUD7:DUF7"/>
    <mergeCell ref="DUG7:DUI7"/>
    <mergeCell ref="DUJ7:DUL7"/>
    <mergeCell ref="DUM7:DUO7"/>
    <mergeCell ref="DTL7:DTN7"/>
    <mergeCell ref="DTO7:DTQ7"/>
    <mergeCell ref="DTR7:DTT7"/>
    <mergeCell ref="DTU7:DTW7"/>
    <mergeCell ref="DTX7:DTZ7"/>
    <mergeCell ref="DSW7:DSY7"/>
    <mergeCell ref="DSZ7:DTB7"/>
    <mergeCell ref="DTC7:DTE7"/>
    <mergeCell ref="DTF7:DTH7"/>
    <mergeCell ref="DTI7:DTK7"/>
    <mergeCell ref="DSH7:DSJ7"/>
    <mergeCell ref="DSK7:DSM7"/>
    <mergeCell ref="DSN7:DSP7"/>
    <mergeCell ref="DSQ7:DSS7"/>
    <mergeCell ref="DST7:DSV7"/>
    <mergeCell ref="DRS7:DRU7"/>
    <mergeCell ref="DRV7:DRX7"/>
    <mergeCell ref="DRY7:DSA7"/>
    <mergeCell ref="DSB7:DSD7"/>
    <mergeCell ref="DSE7:DSG7"/>
    <mergeCell ref="DRD7:DRF7"/>
    <mergeCell ref="DRG7:DRI7"/>
    <mergeCell ref="DRJ7:DRL7"/>
    <mergeCell ref="DRM7:DRO7"/>
    <mergeCell ref="DRP7:DRR7"/>
    <mergeCell ref="DQO7:DQQ7"/>
    <mergeCell ref="DQR7:DQT7"/>
    <mergeCell ref="DQU7:DQW7"/>
    <mergeCell ref="DQX7:DQZ7"/>
    <mergeCell ref="DRA7:DRC7"/>
    <mergeCell ref="DPZ7:DQB7"/>
    <mergeCell ref="DQC7:DQE7"/>
    <mergeCell ref="DQF7:DQH7"/>
    <mergeCell ref="DQI7:DQK7"/>
    <mergeCell ref="DQL7:DQN7"/>
    <mergeCell ref="DPK7:DPM7"/>
    <mergeCell ref="DPN7:DPP7"/>
    <mergeCell ref="DPQ7:DPS7"/>
    <mergeCell ref="DPT7:DPV7"/>
    <mergeCell ref="DPW7:DPY7"/>
    <mergeCell ref="DOV7:DOX7"/>
    <mergeCell ref="DOY7:DPA7"/>
    <mergeCell ref="DPB7:DPD7"/>
    <mergeCell ref="DPE7:DPG7"/>
    <mergeCell ref="DPH7:DPJ7"/>
    <mergeCell ref="DOG7:DOI7"/>
    <mergeCell ref="DOJ7:DOL7"/>
    <mergeCell ref="DOM7:DOO7"/>
    <mergeCell ref="DOP7:DOR7"/>
    <mergeCell ref="DOS7:DOU7"/>
    <mergeCell ref="DNR7:DNT7"/>
    <mergeCell ref="DNU7:DNW7"/>
    <mergeCell ref="DNX7:DNZ7"/>
    <mergeCell ref="DOA7:DOC7"/>
    <mergeCell ref="DOD7:DOF7"/>
    <mergeCell ref="DNC7:DNE7"/>
    <mergeCell ref="DNF7:DNH7"/>
    <mergeCell ref="DNI7:DNK7"/>
    <mergeCell ref="DNL7:DNN7"/>
    <mergeCell ref="DNO7:DNQ7"/>
    <mergeCell ref="DMN7:DMP7"/>
    <mergeCell ref="DMQ7:DMS7"/>
    <mergeCell ref="DMT7:DMV7"/>
    <mergeCell ref="DMW7:DMY7"/>
    <mergeCell ref="DMZ7:DNB7"/>
    <mergeCell ref="DLY7:DMA7"/>
    <mergeCell ref="DMB7:DMD7"/>
    <mergeCell ref="DME7:DMG7"/>
    <mergeCell ref="DMH7:DMJ7"/>
    <mergeCell ref="DMK7:DMM7"/>
    <mergeCell ref="DLJ7:DLL7"/>
    <mergeCell ref="DLM7:DLO7"/>
    <mergeCell ref="DLP7:DLR7"/>
    <mergeCell ref="DLS7:DLU7"/>
    <mergeCell ref="DLV7:DLX7"/>
    <mergeCell ref="DKU7:DKW7"/>
    <mergeCell ref="DKX7:DKZ7"/>
    <mergeCell ref="DLA7:DLC7"/>
    <mergeCell ref="DLD7:DLF7"/>
    <mergeCell ref="DLG7:DLI7"/>
    <mergeCell ref="DKF7:DKH7"/>
    <mergeCell ref="DKI7:DKK7"/>
    <mergeCell ref="DKL7:DKN7"/>
    <mergeCell ref="DKO7:DKQ7"/>
    <mergeCell ref="DKR7:DKT7"/>
    <mergeCell ref="DJQ7:DJS7"/>
    <mergeCell ref="DJT7:DJV7"/>
    <mergeCell ref="DJW7:DJY7"/>
    <mergeCell ref="DJZ7:DKB7"/>
    <mergeCell ref="DKC7:DKE7"/>
    <mergeCell ref="DJB7:DJD7"/>
    <mergeCell ref="DJE7:DJG7"/>
    <mergeCell ref="DJH7:DJJ7"/>
    <mergeCell ref="DJK7:DJM7"/>
    <mergeCell ref="DJN7:DJP7"/>
    <mergeCell ref="DIM7:DIO7"/>
    <mergeCell ref="DIP7:DIR7"/>
    <mergeCell ref="DIS7:DIU7"/>
    <mergeCell ref="DIV7:DIX7"/>
    <mergeCell ref="DIY7:DJA7"/>
    <mergeCell ref="DHX7:DHZ7"/>
    <mergeCell ref="DIA7:DIC7"/>
    <mergeCell ref="DID7:DIF7"/>
    <mergeCell ref="DIG7:DII7"/>
    <mergeCell ref="DIJ7:DIL7"/>
    <mergeCell ref="DHI7:DHK7"/>
    <mergeCell ref="DHL7:DHN7"/>
    <mergeCell ref="DHO7:DHQ7"/>
    <mergeCell ref="DHR7:DHT7"/>
    <mergeCell ref="DHU7:DHW7"/>
    <mergeCell ref="DGT7:DGV7"/>
    <mergeCell ref="DGW7:DGY7"/>
    <mergeCell ref="DGZ7:DHB7"/>
    <mergeCell ref="DHC7:DHE7"/>
    <mergeCell ref="DHF7:DHH7"/>
    <mergeCell ref="DGE7:DGG7"/>
    <mergeCell ref="DGH7:DGJ7"/>
    <mergeCell ref="DGK7:DGM7"/>
    <mergeCell ref="DGN7:DGP7"/>
    <mergeCell ref="DGQ7:DGS7"/>
    <mergeCell ref="DFP7:DFR7"/>
    <mergeCell ref="DFS7:DFU7"/>
    <mergeCell ref="DFV7:DFX7"/>
    <mergeCell ref="DFY7:DGA7"/>
    <mergeCell ref="DGB7:DGD7"/>
    <mergeCell ref="DFA7:DFC7"/>
    <mergeCell ref="DFD7:DFF7"/>
    <mergeCell ref="DFG7:DFI7"/>
    <mergeCell ref="DFJ7:DFL7"/>
    <mergeCell ref="DFM7:DFO7"/>
    <mergeCell ref="DEL7:DEN7"/>
    <mergeCell ref="DEO7:DEQ7"/>
    <mergeCell ref="DER7:DET7"/>
    <mergeCell ref="DEU7:DEW7"/>
    <mergeCell ref="DEX7:DEZ7"/>
    <mergeCell ref="DDW7:DDY7"/>
    <mergeCell ref="DDZ7:DEB7"/>
    <mergeCell ref="DEC7:DEE7"/>
    <mergeCell ref="DEF7:DEH7"/>
    <mergeCell ref="DEI7:DEK7"/>
    <mergeCell ref="DDH7:DDJ7"/>
    <mergeCell ref="DDK7:DDM7"/>
    <mergeCell ref="DDN7:DDP7"/>
    <mergeCell ref="DDQ7:DDS7"/>
    <mergeCell ref="DDT7:DDV7"/>
    <mergeCell ref="DCS7:DCU7"/>
    <mergeCell ref="DCV7:DCX7"/>
    <mergeCell ref="DCY7:DDA7"/>
    <mergeCell ref="DDB7:DDD7"/>
    <mergeCell ref="DDE7:DDG7"/>
    <mergeCell ref="DCD7:DCF7"/>
    <mergeCell ref="DCG7:DCI7"/>
    <mergeCell ref="DCJ7:DCL7"/>
    <mergeCell ref="DCM7:DCO7"/>
    <mergeCell ref="DCP7:DCR7"/>
    <mergeCell ref="DBO7:DBQ7"/>
    <mergeCell ref="DBR7:DBT7"/>
    <mergeCell ref="DBU7:DBW7"/>
    <mergeCell ref="DBX7:DBZ7"/>
    <mergeCell ref="DCA7:DCC7"/>
    <mergeCell ref="DAZ7:DBB7"/>
    <mergeCell ref="DBC7:DBE7"/>
    <mergeCell ref="DBF7:DBH7"/>
    <mergeCell ref="DBI7:DBK7"/>
    <mergeCell ref="DBL7:DBN7"/>
    <mergeCell ref="DAK7:DAM7"/>
    <mergeCell ref="DAN7:DAP7"/>
    <mergeCell ref="DAQ7:DAS7"/>
    <mergeCell ref="DAT7:DAV7"/>
    <mergeCell ref="DAW7:DAY7"/>
    <mergeCell ref="CZV7:CZX7"/>
    <mergeCell ref="CZY7:DAA7"/>
    <mergeCell ref="DAB7:DAD7"/>
    <mergeCell ref="DAE7:DAG7"/>
    <mergeCell ref="DAH7:DAJ7"/>
    <mergeCell ref="CZG7:CZI7"/>
    <mergeCell ref="CZJ7:CZL7"/>
    <mergeCell ref="CZM7:CZO7"/>
    <mergeCell ref="CZP7:CZR7"/>
    <mergeCell ref="CZS7:CZU7"/>
    <mergeCell ref="CYR7:CYT7"/>
    <mergeCell ref="CYU7:CYW7"/>
    <mergeCell ref="CYX7:CYZ7"/>
    <mergeCell ref="CZA7:CZC7"/>
    <mergeCell ref="CZD7:CZF7"/>
    <mergeCell ref="CYC7:CYE7"/>
    <mergeCell ref="CYF7:CYH7"/>
    <mergeCell ref="CYI7:CYK7"/>
    <mergeCell ref="CYL7:CYN7"/>
    <mergeCell ref="CYO7:CYQ7"/>
    <mergeCell ref="CXN7:CXP7"/>
    <mergeCell ref="CXQ7:CXS7"/>
    <mergeCell ref="CXT7:CXV7"/>
    <mergeCell ref="CXW7:CXY7"/>
    <mergeCell ref="CXZ7:CYB7"/>
    <mergeCell ref="CWY7:CXA7"/>
    <mergeCell ref="CXB7:CXD7"/>
    <mergeCell ref="CXE7:CXG7"/>
    <mergeCell ref="CXH7:CXJ7"/>
    <mergeCell ref="CXK7:CXM7"/>
    <mergeCell ref="CWJ7:CWL7"/>
    <mergeCell ref="CWM7:CWO7"/>
    <mergeCell ref="CWP7:CWR7"/>
    <mergeCell ref="CWS7:CWU7"/>
    <mergeCell ref="CWV7:CWX7"/>
    <mergeCell ref="CVU7:CVW7"/>
    <mergeCell ref="CVX7:CVZ7"/>
    <mergeCell ref="CWA7:CWC7"/>
    <mergeCell ref="CWD7:CWF7"/>
    <mergeCell ref="CWG7:CWI7"/>
    <mergeCell ref="CVF7:CVH7"/>
    <mergeCell ref="CVI7:CVK7"/>
    <mergeCell ref="CVL7:CVN7"/>
    <mergeCell ref="CVO7:CVQ7"/>
    <mergeCell ref="CVR7:CVT7"/>
    <mergeCell ref="CUQ7:CUS7"/>
    <mergeCell ref="CUT7:CUV7"/>
    <mergeCell ref="CUW7:CUY7"/>
    <mergeCell ref="CUZ7:CVB7"/>
    <mergeCell ref="CVC7:CVE7"/>
    <mergeCell ref="CUB7:CUD7"/>
    <mergeCell ref="CUE7:CUG7"/>
    <mergeCell ref="CUH7:CUJ7"/>
    <mergeCell ref="CUK7:CUM7"/>
    <mergeCell ref="CUN7:CUP7"/>
    <mergeCell ref="CTM7:CTO7"/>
    <mergeCell ref="CTP7:CTR7"/>
    <mergeCell ref="CTS7:CTU7"/>
    <mergeCell ref="CTV7:CTX7"/>
    <mergeCell ref="CTY7:CUA7"/>
    <mergeCell ref="CSX7:CSZ7"/>
    <mergeCell ref="CTA7:CTC7"/>
    <mergeCell ref="CTD7:CTF7"/>
    <mergeCell ref="CTG7:CTI7"/>
    <mergeCell ref="CTJ7:CTL7"/>
    <mergeCell ref="CSI7:CSK7"/>
    <mergeCell ref="CSL7:CSN7"/>
    <mergeCell ref="CSO7:CSQ7"/>
    <mergeCell ref="CSR7:CST7"/>
    <mergeCell ref="CSU7:CSW7"/>
    <mergeCell ref="CRT7:CRV7"/>
    <mergeCell ref="CRW7:CRY7"/>
    <mergeCell ref="CRZ7:CSB7"/>
    <mergeCell ref="CSC7:CSE7"/>
    <mergeCell ref="CSF7:CSH7"/>
    <mergeCell ref="CRE7:CRG7"/>
    <mergeCell ref="CRH7:CRJ7"/>
    <mergeCell ref="CRK7:CRM7"/>
    <mergeCell ref="CRN7:CRP7"/>
    <mergeCell ref="CRQ7:CRS7"/>
    <mergeCell ref="CQP7:CQR7"/>
    <mergeCell ref="CQS7:CQU7"/>
    <mergeCell ref="CQV7:CQX7"/>
    <mergeCell ref="CQY7:CRA7"/>
    <mergeCell ref="CRB7:CRD7"/>
    <mergeCell ref="CQA7:CQC7"/>
    <mergeCell ref="CQD7:CQF7"/>
    <mergeCell ref="CQG7:CQI7"/>
    <mergeCell ref="CQJ7:CQL7"/>
    <mergeCell ref="CQM7:CQO7"/>
    <mergeCell ref="CPL7:CPN7"/>
    <mergeCell ref="CPO7:CPQ7"/>
    <mergeCell ref="CPR7:CPT7"/>
    <mergeCell ref="CPU7:CPW7"/>
    <mergeCell ref="CPX7:CPZ7"/>
    <mergeCell ref="COW7:COY7"/>
    <mergeCell ref="COZ7:CPB7"/>
    <mergeCell ref="CPC7:CPE7"/>
    <mergeCell ref="CPF7:CPH7"/>
    <mergeCell ref="CPI7:CPK7"/>
    <mergeCell ref="COH7:COJ7"/>
    <mergeCell ref="COK7:COM7"/>
    <mergeCell ref="CON7:COP7"/>
    <mergeCell ref="COQ7:COS7"/>
    <mergeCell ref="COT7:COV7"/>
    <mergeCell ref="CNS7:CNU7"/>
    <mergeCell ref="CNV7:CNX7"/>
    <mergeCell ref="CNY7:COA7"/>
    <mergeCell ref="COB7:COD7"/>
    <mergeCell ref="COE7:COG7"/>
    <mergeCell ref="CND7:CNF7"/>
    <mergeCell ref="CNG7:CNI7"/>
    <mergeCell ref="CNJ7:CNL7"/>
    <mergeCell ref="CNM7:CNO7"/>
    <mergeCell ref="CNP7:CNR7"/>
    <mergeCell ref="CMO7:CMQ7"/>
    <mergeCell ref="CMR7:CMT7"/>
    <mergeCell ref="CMU7:CMW7"/>
    <mergeCell ref="CMX7:CMZ7"/>
    <mergeCell ref="CNA7:CNC7"/>
    <mergeCell ref="CLZ7:CMB7"/>
    <mergeCell ref="CMC7:CME7"/>
    <mergeCell ref="CMF7:CMH7"/>
    <mergeCell ref="CMI7:CMK7"/>
    <mergeCell ref="CML7:CMN7"/>
    <mergeCell ref="CLK7:CLM7"/>
    <mergeCell ref="CLN7:CLP7"/>
    <mergeCell ref="CLQ7:CLS7"/>
    <mergeCell ref="CLT7:CLV7"/>
    <mergeCell ref="CLW7:CLY7"/>
    <mergeCell ref="CKV7:CKX7"/>
    <mergeCell ref="CKY7:CLA7"/>
    <mergeCell ref="CLB7:CLD7"/>
    <mergeCell ref="CLE7:CLG7"/>
    <mergeCell ref="CLH7:CLJ7"/>
    <mergeCell ref="CKG7:CKI7"/>
    <mergeCell ref="CKJ7:CKL7"/>
    <mergeCell ref="CKM7:CKO7"/>
    <mergeCell ref="CKP7:CKR7"/>
    <mergeCell ref="CKS7:CKU7"/>
    <mergeCell ref="CJR7:CJT7"/>
    <mergeCell ref="CJU7:CJW7"/>
    <mergeCell ref="CJX7:CJZ7"/>
    <mergeCell ref="CKA7:CKC7"/>
    <mergeCell ref="CKD7:CKF7"/>
    <mergeCell ref="CJC7:CJE7"/>
    <mergeCell ref="CJF7:CJH7"/>
    <mergeCell ref="CJI7:CJK7"/>
    <mergeCell ref="CJL7:CJN7"/>
    <mergeCell ref="CJO7:CJQ7"/>
    <mergeCell ref="CIN7:CIP7"/>
    <mergeCell ref="CIQ7:CIS7"/>
    <mergeCell ref="CIT7:CIV7"/>
    <mergeCell ref="CIW7:CIY7"/>
    <mergeCell ref="CIZ7:CJB7"/>
    <mergeCell ref="CHY7:CIA7"/>
    <mergeCell ref="CIB7:CID7"/>
    <mergeCell ref="CIE7:CIG7"/>
    <mergeCell ref="CIH7:CIJ7"/>
    <mergeCell ref="CIK7:CIM7"/>
    <mergeCell ref="CHJ7:CHL7"/>
    <mergeCell ref="CHM7:CHO7"/>
    <mergeCell ref="CHP7:CHR7"/>
    <mergeCell ref="CHS7:CHU7"/>
    <mergeCell ref="CHV7:CHX7"/>
    <mergeCell ref="CGU7:CGW7"/>
    <mergeCell ref="CGX7:CGZ7"/>
    <mergeCell ref="CHA7:CHC7"/>
    <mergeCell ref="CHD7:CHF7"/>
    <mergeCell ref="CHG7:CHI7"/>
    <mergeCell ref="CGF7:CGH7"/>
    <mergeCell ref="CGI7:CGK7"/>
    <mergeCell ref="CGL7:CGN7"/>
    <mergeCell ref="CGO7:CGQ7"/>
    <mergeCell ref="CGR7:CGT7"/>
    <mergeCell ref="CFQ7:CFS7"/>
    <mergeCell ref="CFT7:CFV7"/>
    <mergeCell ref="CFW7:CFY7"/>
    <mergeCell ref="CFZ7:CGB7"/>
    <mergeCell ref="CGC7:CGE7"/>
    <mergeCell ref="CFB7:CFD7"/>
    <mergeCell ref="CFE7:CFG7"/>
    <mergeCell ref="CFH7:CFJ7"/>
    <mergeCell ref="CFK7:CFM7"/>
    <mergeCell ref="CFN7:CFP7"/>
    <mergeCell ref="CEM7:CEO7"/>
    <mergeCell ref="CEP7:CER7"/>
    <mergeCell ref="CES7:CEU7"/>
    <mergeCell ref="CEV7:CEX7"/>
    <mergeCell ref="CEY7:CFA7"/>
    <mergeCell ref="CDX7:CDZ7"/>
    <mergeCell ref="CEA7:CEC7"/>
    <mergeCell ref="CED7:CEF7"/>
    <mergeCell ref="CEG7:CEI7"/>
    <mergeCell ref="CEJ7:CEL7"/>
    <mergeCell ref="CDI7:CDK7"/>
    <mergeCell ref="CDL7:CDN7"/>
    <mergeCell ref="CDO7:CDQ7"/>
    <mergeCell ref="CDR7:CDT7"/>
    <mergeCell ref="CDU7:CDW7"/>
    <mergeCell ref="CCT7:CCV7"/>
    <mergeCell ref="CCW7:CCY7"/>
    <mergeCell ref="CCZ7:CDB7"/>
    <mergeCell ref="CDC7:CDE7"/>
    <mergeCell ref="CDF7:CDH7"/>
    <mergeCell ref="CCE7:CCG7"/>
    <mergeCell ref="CCH7:CCJ7"/>
    <mergeCell ref="CCK7:CCM7"/>
    <mergeCell ref="CCN7:CCP7"/>
    <mergeCell ref="CCQ7:CCS7"/>
    <mergeCell ref="CBP7:CBR7"/>
    <mergeCell ref="CBS7:CBU7"/>
    <mergeCell ref="CBV7:CBX7"/>
    <mergeCell ref="CBY7:CCA7"/>
    <mergeCell ref="CCB7:CCD7"/>
    <mergeCell ref="CBA7:CBC7"/>
    <mergeCell ref="CBD7:CBF7"/>
    <mergeCell ref="CBG7:CBI7"/>
    <mergeCell ref="CBJ7:CBL7"/>
    <mergeCell ref="CBM7:CBO7"/>
    <mergeCell ref="CAL7:CAN7"/>
    <mergeCell ref="CAO7:CAQ7"/>
    <mergeCell ref="CAR7:CAT7"/>
    <mergeCell ref="CAU7:CAW7"/>
    <mergeCell ref="CAX7:CAZ7"/>
    <mergeCell ref="BZW7:BZY7"/>
    <mergeCell ref="BZZ7:CAB7"/>
    <mergeCell ref="CAC7:CAE7"/>
    <mergeCell ref="CAF7:CAH7"/>
    <mergeCell ref="CAI7:CAK7"/>
    <mergeCell ref="BZH7:BZJ7"/>
    <mergeCell ref="BZK7:BZM7"/>
    <mergeCell ref="BZN7:BZP7"/>
    <mergeCell ref="BZQ7:BZS7"/>
    <mergeCell ref="BZT7:BZV7"/>
    <mergeCell ref="BYS7:BYU7"/>
    <mergeCell ref="BYV7:BYX7"/>
    <mergeCell ref="BYY7:BZA7"/>
    <mergeCell ref="BZB7:BZD7"/>
    <mergeCell ref="BZE7:BZG7"/>
    <mergeCell ref="BYD7:BYF7"/>
    <mergeCell ref="BYG7:BYI7"/>
    <mergeCell ref="BYJ7:BYL7"/>
    <mergeCell ref="BYM7:BYO7"/>
    <mergeCell ref="BYP7:BYR7"/>
    <mergeCell ref="BXO7:BXQ7"/>
    <mergeCell ref="BXR7:BXT7"/>
    <mergeCell ref="BXU7:BXW7"/>
    <mergeCell ref="BXX7:BXZ7"/>
    <mergeCell ref="BYA7:BYC7"/>
    <mergeCell ref="BWZ7:BXB7"/>
    <mergeCell ref="BXC7:BXE7"/>
    <mergeCell ref="BXF7:BXH7"/>
    <mergeCell ref="BXI7:BXK7"/>
    <mergeCell ref="BXL7:BXN7"/>
    <mergeCell ref="BWK7:BWM7"/>
    <mergeCell ref="BWN7:BWP7"/>
    <mergeCell ref="BWQ7:BWS7"/>
    <mergeCell ref="BWT7:BWV7"/>
    <mergeCell ref="BWW7:BWY7"/>
    <mergeCell ref="BVV7:BVX7"/>
    <mergeCell ref="BVY7:BWA7"/>
    <mergeCell ref="BWB7:BWD7"/>
    <mergeCell ref="BWE7:BWG7"/>
    <mergeCell ref="BWH7:BWJ7"/>
    <mergeCell ref="BVG7:BVI7"/>
    <mergeCell ref="BVJ7:BVL7"/>
    <mergeCell ref="BVM7:BVO7"/>
    <mergeCell ref="BVP7:BVR7"/>
    <mergeCell ref="BVS7:BVU7"/>
    <mergeCell ref="BUR7:BUT7"/>
    <mergeCell ref="BUU7:BUW7"/>
    <mergeCell ref="BUX7:BUZ7"/>
    <mergeCell ref="BVA7:BVC7"/>
    <mergeCell ref="BVD7:BVF7"/>
    <mergeCell ref="BUC7:BUE7"/>
    <mergeCell ref="BUF7:BUH7"/>
    <mergeCell ref="BUI7:BUK7"/>
    <mergeCell ref="BUL7:BUN7"/>
    <mergeCell ref="BUO7:BUQ7"/>
    <mergeCell ref="BTN7:BTP7"/>
    <mergeCell ref="BTQ7:BTS7"/>
    <mergeCell ref="BTT7:BTV7"/>
    <mergeCell ref="BTW7:BTY7"/>
    <mergeCell ref="BTZ7:BUB7"/>
    <mergeCell ref="BSY7:BTA7"/>
    <mergeCell ref="BTB7:BTD7"/>
    <mergeCell ref="BTE7:BTG7"/>
    <mergeCell ref="BTH7:BTJ7"/>
    <mergeCell ref="BTK7:BTM7"/>
    <mergeCell ref="BSJ7:BSL7"/>
    <mergeCell ref="BSM7:BSO7"/>
    <mergeCell ref="BSP7:BSR7"/>
    <mergeCell ref="BSS7:BSU7"/>
    <mergeCell ref="BSV7:BSX7"/>
    <mergeCell ref="BRU7:BRW7"/>
    <mergeCell ref="BRX7:BRZ7"/>
    <mergeCell ref="BSA7:BSC7"/>
    <mergeCell ref="BSD7:BSF7"/>
    <mergeCell ref="BSG7:BSI7"/>
    <mergeCell ref="BRF7:BRH7"/>
    <mergeCell ref="BRI7:BRK7"/>
    <mergeCell ref="BRL7:BRN7"/>
    <mergeCell ref="BRO7:BRQ7"/>
    <mergeCell ref="BRR7:BRT7"/>
    <mergeCell ref="BQQ7:BQS7"/>
    <mergeCell ref="BQT7:BQV7"/>
    <mergeCell ref="BQW7:BQY7"/>
    <mergeCell ref="BQZ7:BRB7"/>
    <mergeCell ref="BRC7:BRE7"/>
    <mergeCell ref="BQB7:BQD7"/>
    <mergeCell ref="BQE7:BQG7"/>
    <mergeCell ref="BQH7:BQJ7"/>
    <mergeCell ref="BQK7:BQM7"/>
    <mergeCell ref="BQN7:BQP7"/>
    <mergeCell ref="BPM7:BPO7"/>
    <mergeCell ref="BPP7:BPR7"/>
    <mergeCell ref="BPS7:BPU7"/>
    <mergeCell ref="BPV7:BPX7"/>
    <mergeCell ref="BPY7:BQA7"/>
    <mergeCell ref="BOX7:BOZ7"/>
    <mergeCell ref="BPA7:BPC7"/>
    <mergeCell ref="BPD7:BPF7"/>
    <mergeCell ref="BPG7:BPI7"/>
    <mergeCell ref="BPJ7:BPL7"/>
    <mergeCell ref="BOI7:BOK7"/>
    <mergeCell ref="BOL7:BON7"/>
    <mergeCell ref="BOO7:BOQ7"/>
    <mergeCell ref="BOR7:BOT7"/>
    <mergeCell ref="BOU7:BOW7"/>
    <mergeCell ref="BNT7:BNV7"/>
    <mergeCell ref="BNW7:BNY7"/>
    <mergeCell ref="BNZ7:BOB7"/>
    <mergeCell ref="BOC7:BOE7"/>
    <mergeCell ref="BOF7:BOH7"/>
    <mergeCell ref="BNE7:BNG7"/>
    <mergeCell ref="BNH7:BNJ7"/>
    <mergeCell ref="BNK7:BNM7"/>
    <mergeCell ref="BNN7:BNP7"/>
    <mergeCell ref="BNQ7:BNS7"/>
    <mergeCell ref="BMP7:BMR7"/>
    <mergeCell ref="BMS7:BMU7"/>
    <mergeCell ref="BMV7:BMX7"/>
    <mergeCell ref="BMY7:BNA7"/>
    <mergeCell ref="BNB7:BND7"/>
    <mergeCell ref="BMA7:BMC7"/>
    <mergeCell ref="BMD7:BMF7"/>
    <mergeCell ref="BMG7:BMI7"/>
    <mergeCell ref="BMJ7:BML7"/>
    <mergeCell ref="BMM7:BMO7"/>
    <mergeCell ref="BLL7:BLN7"/>
    <mergeCell ref="BLO7:BLQ7"/>
    <mergeCell ref="BLR7:BLT7"/>
    <mergeCell ref="BLU7:BLW7"/>
    <mergeCell ref="BLX7:BLZ7"/>
    <mergeCell ref="BKW7:BKY7"/>
    <mergeCell ref="BKZ7:BLB7"/>
    <mergeCell ref="BLC7:BLE7"/>
    <mergeCell ref="BLF7:BLH7"/>
    <mergeCell ref="BLI7:BLK7"/>
    <mergeCell ref="BKH7:BKJ7"/>
    <mergeCell ref="BKK7:BKM7"/>
    <mergeCell ref="BKN7:BKP7"/>
    <mergeCell ref="BKQ7:BKS7"/>
    <mergeCell ref="BKT7:BKV7"/>
    <mergeCell ref="BJS7:BJU7"/>
    <mergeCell ref="BJV7:BJX7"/>
    <mergeCell ref="BJY7:BKA7"/>
    <mergeCell ref="BKB7:BKD7"/>
    <mergeCell ref="BKE7:BKG7"/>
    <mergeCell ref="BJD7:BJF7"/>
    <mergeCell ref="BJG7:BJI7"/>
    <mergeCell ref="BJJ7:BJL7"/>
    <mergeCell ref="BJM7:BJO7"/>
    <mergeCell ref="BJP7:BJR7"/>
    <mergeCell ref="BIO7:BIQ7"/>
    <mergeCell ref="BIR7:BIT7"/>
    <mergeCell ref="BIU7:BIW7"/>
    <mergeCell ref="BIX7:BIZ7"/>
    <mergeCell ref="BJA7:BJC7"/>
    <mergeCell ref="BHZ7:BIB7"/>
    <mergeCell ref="BIC7:BIE7"/>
    <mergeCell ref="BIF7:BIH7"/>
    <mergeCell ref="BII7:BIK7"/>
    <mergeCell ref="BIL7:BIN7"/>
    <mergeCell ref="BHK7:BHM7"/>
    <mergeCell ref="BHN7:BHP7"/>
    <mergeCell ref="BHQ7:BHS7"/>
    <mergeCell ref="BHT7:BHV7"/>
    <mergeCell ref="BHW7:BHY7"/>
    <mergeCell ref="BGV7:BGX7"/>
    <mergeCell ref="BGY7:BHA7"/>
    <mergeCell ref="BHB7:BHD7"/>
    <mergeCell ref="BHE7:BHG7"/>
    <mergeCell ref="BHH7:BHJ7"/>
    <mergeCell ref="BGG7:BGI7"/>
    <mergeCell ref="BGJ7:BGL7"/>
    <mergeCell ref="BGM7:BGO7"/>
    <mergeCell ref="BGP7:BGR7"/>
    <mergeCell ref="BGS7:BGU7"/>
    <mergeCell ref="BFR7:BFT7"/>
    <mergeCell ref="BFU7:BFW7"/>
    <mergeCell ref="BFX7:BFZ7"/>
    <mergeCell ref="BGA7:BGC7"/>
    <mergeCell ref="BGD7:BGF7"/>
    <mergeCell ref="BFC7:BFE7"/>
    <mergeCell ref="BFF7:BFH7"/>
    <mergeCell ref="BFI7:BFK7"/>
    <mergeCell ref="BFL7:BFN7"/>
    <mergeCell ref="BFO7:BFQ7"/>
    <mergeCell ref="BEN7:BEP7"/>
    <mergeCell ref="BEQ7:BES7"/>
    <mergeCell ref="BET7:BEV7"/>
    <mergeCell ref="BEW7:BEY7"/>
    <mergeCell ref="BEZ7:BFB7"/>
    <mergeCell ref="BDY7:BEA7"/>
    <mergeCell ref="BEB7:BED7"/>
    <mergeCell ref="BEE7:BEG7"/>
    <mergeCell ref="BEH7:BEJ7"/>
    <mergeCell ref="BEK7:BEM7"/>
    <mergeCell ref="BDJ7:BDL7"/>
    <mergeCell ref="BDM7:BDO7"/>
    <mergeCell ref="BDP7:BDR7"/>
    <mergeCell ref="BDS7:BDU7"/>
    <mergeCell ref="BDV7:BDX7"/>
    <mergeCell ref="BCU7:BCW7"/>
    <mergeCell ref="BCX7:BCZ7"/>
    <mergeCell ref="BDA7:BDC7"/>
    <mergeCell ref="BDD7:BDF7"/>
    <mergeCell ref="BDG7:BDI7"/>
    <mergeCell ref="BCF7:BCH7"/>
    <mergeCell ref="BCI7:BCK7"/>
    <mergeCell ref="BCL7:BCN7"/>
    <mergeCell ref="BCO7:BCQ7"/>
    <mergeCell ref="BCR7:BCT7"/>
    <mergeCell ref="BBQ7:BBS7"/>
    <mergeCell ref="BBT7:BBV7"/>
    <mergeCell ref="BBW7:BBY7"/>
    <mergeCell ref="BBZ7:BCB7"/>
    <mergeCell ref="BCC7:BCE7"/>
    <mergeCell ref="BBB7:BBD7"/>
    <mergeCell ref="BBE7:BBG7"/>
    <mergeCell ref="BBH7:BBJ7"/>
    <mergeCell ref="BBK7:BBM7"/>
    <mergeCell ref="BBN7:BBP7"/>
    <mergeCell ref="BAM7:BAO7"/>
    <mergeCell ref="BAP7:BAR7"/>
    <mergeCell ref="BAS7:BAU7"/>
    <mergeCell ref="BAV7:BAX7"/>
    <mergeCell ref="BAY7:BBA7"/>
    <mergeCell ref="AZX7:AZZ7"/>
    <mergeCell ref="BAA7:BAC7"/>
    <mergeCell ref="BAD7:BAF7"/>
    <mergeCell ref="BAG7:BAI7"/>
    <mergeCell ref="BAJ7:BAL7"/>
    <mergeCell ref="AZI7:AZK7"/>
    <mergeCell ref="AZL7:AZN7"/>
    <mergeCell ref="AZO7:AZQ7"/>
    <mergeCell ref="AZR7:AZT7"/>
    <mergeCell ref="AZU7:AZW7"/>
    <mergeCell ref="AYT7:AYV7"/>
    <mergeCell ref="AYW7:AYY7"/>
    <mergeCell ref="AYZ7:AZB7"/>
    <mergeCell ref="AZC7:AZE7"/>
    <mergeCell ref="AZF7:AZH7"/>
    <mergeCell ref="AYE7:AYG7"/>
    <mergeCell ref="AYH7:AYJ7"/>
    <mergeCell ref="AYK7:AYM7"/>
    <mergeCell ref="AYN7:AYP7"/>
    <mergeCell ref="AYQ7:AYS7"/>
    <mergeCell ref="AXP7:AXR7"/>
    <mergeCell ref="AXS7:AXU7"/>
    <mergeCell ref="AXV7:AXX7"/>
    <mergeCell ref="AXY7:AYA7"/>
    <mergeCell ref="AYB7:AYD7"/>
    <mergeCell ref="AXA7:AXC7"/>
    <mergeCell ref="AXD7:AXF7"/>
    <mergeCell ref="AXG7:AXI7"/>
    <mergeCell ref="AXJ7:AXL7"/>
    <mergeCell ref="AXM7:AXO7"/>
    <mergeCell ref="AWL7:AWN7"/>
    <mergeCell ref="AWO7:AWQ7"/>
    <mergeCell ref="AWR7:AWT7"/>
    <mergeCell ref="AWU7:AWW7"/>
    <mergeCell ref="AWX7:AWZ7"/>
    <mergeCell ref="AVW7:AVY7"/>
    <mergeCell ref="AVZ7:AWB7"/>
    <mergeCell ref="AWC7:AWE7"/>
    <mergeCell ref="AWF7:AWH7"/>
    <mergeCell ref="AWI7:AWK7"/>
    <mergeCell ref="AVH7:AVJ7"/>
    <mergeCell ref="AVK7:AVM7"/>
    <mergeCell ref="AVN7:AVP7"/>
    <mergeCell ref="AVQ7:AVS7"/>
    <mergeCell ref="AVT7:AVV7"/>
    <mergeCell ref="AUS7:AUU7"/>
    <mergeCell ref="AUV7:AUX7"/>
    <mergeCell ref="AUY7:AVA7"/>
    <mergeCell ref="AVB7:AVD7"/>
    <mergeCell ref="AVE7:AVG7"/>
    <mergeCell ref="AUD7:AUF7"/>
    <mergeCell ref="AUG7:AUI7"/>
    <mergeCell ref="AUJ7:AUL7"/>
    <mergeCell ref="AUM7:AUO7"/>
    <mergeCell ref="AUP7:AUR7"/>
    <mergeCell ref="ATO7:ATQ7"/>
    <mergeCell ref="ATR7:ATT7"/>
    <mergeCell ref="ATU7:ATW7"/>
    <mergeCell ref="ATX7:ATZ7"/>
    <mergeCell ref="AUA7:AUC7"/>
    <mergeCell ref="ASZ7:ATB7"/>
    <mergeCell ref="ATC7:ATE7"/>
    <mergeCell ref="ATF7:ATH7"/>
    <mergeCell ref="ATI7:ATK7"/>
    <mergeCell ref="ATL7:ATN7"/>
    <mergeCell ref="ASK7:ASM7"/>
    <mergeCell ref="ASN7:ASP7"/>
    <mergeCell ref="ASQ7:ASS7"/>
    <mergeCell ref="AST7:ASV7"/>
    <mergeCell ref="ASW7:ASY7"/>
    <mergeCell ref="ARV7:ARX7"/>
    <mergeCell ref="ARY7:ASA7"/>
    <mergeCell ref="ASB7:ASD7"/>
    <mergeCell ref="ASE7:ASG7"/>
    <mergeCell ref="ASH7:ASJ7"/>
    <mergeCell ref="ARG7:ARI7"/>
    <mergeCell ref="ARJ7:ARL7"/>
    <mergeCell ref="ARM7:ARO7"/>
    <mergeCell ref="ARP7:ARR7"/>
    <mergeCell ref="ARS7:ARU7"/>
    <mergeCell ref="AQR7:AQT7"/>
    <mergeCell ref="AQU7:AQW7"/>
    <mergeCell ref="AQX7:AQZ7"/>
    <mergeCell ref="ARA7:ARC7"/>
    <mergeCell ref="ARD7:ARF7"/>
    <mergeCell ref="AQC7:AQE7"/>
    <mergeCell ref="AQF7:AQH7"/>
    <mergeCell ref="AQI7:AQK7"/>
    <mergeCell ref="AQL7:AQN7"/>
    <mergeCell ref="AQO7:AQQ7"/>
    <mergeCell ref="APN7:APP7"/>
    <mergeCell ref="APQ7:APS7"/>
    <mergeCell ref="APT7:APV7"/>
    <mergeCell ref="APW7:APY7"/>
    <mergeCell ref="APZ7:AQB7"/>
    <mergeCell ref="AOY7:APA7"/>
    <mergeCell ref="APB7:APD7"/>
    <mergeCell ref="APE7:APG7"/>
    <mergeCell ref="APH7:APJ7"/>
    <mergeCell ref="APK7:APM7"/>
    <mergeCell ref="AOJ7:AOL7"/>
    <mergeCell ref="AOM7:AOO7"/>
    <mergeCell ref="AOP7:AOR7"/>
    <mergeCell ref="AOS7:AOU7"/>
    <mergeCell ref="AOV7:AOX7"/>
    <mergeCell ref="ANU7:ANW7"/>
    <mergeCell ref="ANX7:ANZ7"/>
    <mergeCell ref="AOA7:AOC7"/>
    <mergeCell ref="AOD7:AOF7"/>
    <mergeCell ref="AOG7:AOI7"/>
    <mergeCell ref="ANF7:ANH7"/>
    <mergeCell ref="ANI7:ANK7"/>
    <mergeCell ref="ANL7:ANN7"/>
    <mergeCell ref="ANO7:ANQ7"/>
    <mergeCell ref="ANR7:ANT7"/>
    <mergeCell ref="AMQ7:AMS7"/>
    <mergeCell ref="AMT7:AMV7"/>
    <mergeCell ref="AMW7:AMY7"/>
    <mergeCell ref="AMZ7:ANB7"/>
    <mergeCell ref="ANC7:ANE7"/>
    <mergeCell ref="AMB7:AMD7"/>
    <mergeCell ref="AME7:AMG7"/>
    <mergeCell ref="AMH7:AMJ7"/>
    <mergeCell ref="AMK7:AMM7"/>
    <mergeCell ref="AMN7:AMP7"/>
    <mergeCell ref="ALM7:ALO7"/>
    <mergeCell ref="ALP7:ALR7"/>
    <mergeCell ref="ALS7:ALU7"/>
    <mergeCell ref="ALV7:ALX7"/>
    <mergeCell ref="ALY7:AMA7"/>
    <mergeCell ref="AKX7:AKZ7"/>
    <mergeCell ref="ALA7:ALC7"/>
    <mergeCell ref="ALD7:ALF7"/>
    <mergeCell ref="ALG7:ALI7"/>
    <mergeCell ref="ALJ7:ALL7"/>
    <mergeCell ref="AKI7:AKK7"/>
    <mergeCell ref="AKL7:AKN7"/>
    <mergeCell ref="AKO7:AKQ7"/>
    <mergeCell ref="AKR7:AKT7"/>
    <mergeCell ref="AKU7:AKW7"/>
    <mergeCell ref="AJT7:AJV7"/>
    <mergeCell ref="AJW7:AJY7"/>
    <mergeCell ref="AJZ7:AKB7"/>
    <mergeCell ref="AKC7:AKE7"/>
    <mergeCell ref="AKF7:AKH7"/>
    <mergeCell ref="AJE7:AJG7"/>
    <mergeCell ref="AJH7:AJJ7"/>
    <mergeCell ref="AJK7:AJM7"/>
    <mergeCell ref="AJN7:AJP7"/>
    <mergeCell ref="AJQ7:AJS7"/>
    <mergeCell ref="AIP7:AIR7"/>
    <mergeCell ref="AIS7:AIU7"/>
    <mergeCell ref="AIV7:AIX7"/>
    <mergeCell ref="AIY7:AJA7"/>
    <mergeCell ref="AJB7:AJD7"/>
    <mergeCell ref="AIA7:AIC7"/>
    <mergeCell ref="AID7:AIF7"/>
    <mergeCell ref="AIG7:AII7"/>
    <mergeCell ref="AIJ7:AIL7"/>
    <mergeCell ref="AIM7:AIO7"/>
    <mergeCell ref="AHL7:AHN7"/>
    <mergeCell ref="AHO7:AHQ7"/>
    <mergeCell ref="AHR7:AHT7"/>
    <mergeCell ref="AHU7:AHW7"/>
    <mergeCell ref="AHX7:AHZ7"/>
    <mergeCell ref="AGW7:AGY7"/>
    <mergeCell ref="AGZ7:AHB7"/>
    <mergeCell ref="AHC7:AHE7"/>
    <mergeCell ref="AHF7:AHH7"/>
    <mergeCell ref="AHI7:AHK7"/>
    <mergeCell ref="AGH7:AGJ7"/>
    <mergeCell ref="AGK7:AGM7"/>
    <mergeCell ref="AGN7:AGP7"/>
    <mergeCell ref="AGQ7:AGS7"/>
    <mergeCell ref="AGT7:AGV7"/>
    <mergeCell ref="AFS7:AFU7"/>
    <mergeCell ref="AFV7:AFX7"/>
    <mergeCell ref="AFY7:AGA7"/>
    <mergeCell ref="AGB7:AGD7"/>
    <mergeCell ref="AGE7:AGG7"/>
    <mergeCell ref="AFD7:AFF7"/>
    <mergeCell ref="AFG7:AFI7"/>
    <mergeCell ref="AFJ7:AFL7"/>
    <mergeCell ref="AFM7:AFO7"/>
    <mergeCell ref="AFP7:AFR7"/>
    <mergeCell ref="AEO7:AEQ7"/>
    <mergeCell ref="AER7:AET7"/>
    <mergeCell ref="AEU7:AEW7"/>
    <mergeCell ref="AEX7:AEZ7"/>
    <mergeCell ref="AFA7:AFC7"/>
    <mergeCell ref="ADZ7:AEB7"/>
    <mergeCell ref="AEC7:AEE7"/>
    <mergeCell ref="AEF7:AEH7"/>
    <mergeCell ref="AEI7:AEK7"/>
    <mergeCell ref="AEL7:AEN7"/>
    <mergeCell ref="ADK7:ADM7"/>
    <mergeCell ref="ADN7:ADP7"/>
    <mergeCell ref="ADQ7:ADS7"/>
    <mergeCell ref="ADT7:ADV7"/>
    <mergeCell ref="ADW7:ADY7"/>
    <mergeCell ref="ACV7:ACX7"/>
    <mergeCell ref="ACY7:ADA7"/>
    <mergeCell ref="ADB7:ADD7"/>
    <mergeCell ref="ADE7:ADG7"/>
    <mergeCell ref="ADH7:ADJ7"/>
    <mergeCell ref="ACG7:ACI7"/>
    <mergeCell ref="ACJ7:ACL7"/>
    <mergeCell ref="ACM7:ACO7"/>
    <mergeCell ref="ACP7:ACR7"/>
    <mergeCell ref="ACS7:ACU7"/>
    <mergeCell ref="ABR7:ABT7"/>
    <mergeCell ref="ABU7:ABW7"/>
    <mergeCell ref="ABX7:ABZ7"/>
    <mergeCell ref="ACA7:ACC7"/>
    <mergeCell ref="ACD7:ACF7"/>
    <mergeCell ref="ABC7:ABE7"/>
    <mergeCell ref="ABF7:ABH7"/>
    <mergeCell ref="ABI7:ABK7"/>
    <mergeCell ref="ABL7:ABN7"/>
    <mergeCell ref="ABO7:ABQ7"/>
    <mergeCell ref="AAN7:AAP7"/>
    <mergeCell ref="AAQ7:AAS7"/>
    <mergeCell ref="AAT7:AAV7"/>
    <mergeCell ref="AAW7:AAY7"/>
    <mergeCell ref="AAZ7:ABB7"/>
    <mergeCell ref="ZY7:AAA7"/>
    <mergeCell ref="AAB7:AAD7"/>
    <mergeCell ref="AAE7:AAG7"/>
    <mergeCell ref="AAH7:AAJ7"/>
    <mergeCell ref="AAK7:AAM7"/>
    <mergeCell ref="ZJ7:ZL7"/>
    <mergeCell ref="ZM7:ZO7"/>
    <mergeCell ref="ZP7:ZR7"/>
    <mergeCell ref="ZS7:ZU7"/>
    <mergeCell ref="ZV7:ZX7"/>
    <mergeCell ref="YU7:YW7"/>
    <mergeCell ref="YX7:YZ7"/>
    <mergeCell ref="ZA7:ZC7"/>
    <mergeCell ref="ZD7:ZF7"/>
    <mergeCell ref="ZG7:ZI7"/>
    <mergeCell ref="YF7:YH7"/>
    <mergeCell ref="YI7:YK7"/>
    <mergeCell ref="YL7:YN7"/>
    <mergeCell ref="YO7:YQ7"/>
    <mergeCell ref="YR7:YT7"/>
    <mergeCell ref="XQ7:XS7"/>
    <mergeCell ref="XT7:XV7"/>
    <mergeCell ref="XW7:XY7"/>
    <mergeCell ref="XZ7:YB7"/>
    <mergeCell ref="YC7:YE7"/>
    <mergeCell ref="XB7:XD7"/>
    <mergeCell ref="XE7:XG7"/>
    <mergeCell ref="XH7:XJ7"/>
    <mergeCell ref="XK7:XM7"/>
    <mergeCell ref="XN7:XP7"/>
    <mergeCell ref="WM7:WO7"/>
    <mergeCell ref="WP7:WR7"/>
    <mergeCell ref="WS7:WU7"/>
    <mergeCell ref="WV7:WX7"/>
    <mergeCell ref="WY7:XA7"/>
    <mergeCell ref="VX7:VZ7"/>
    <mergeCell ref="WA7:WC7"/>
    <mergeCell ref="WD7:WF7"/>
    <mergeCell ref="WG7:WI7"/>
    <mergeCell ref="WJ7:WL7"/>
    <mergeCell ref="VI7:VK7"/>
    <mergeCell ref="VL7:VN7"/>
    <mergeCell ref="VO7:VQ7"/>
    <mergeCell ref="VR7:VT7"/>
    <mergeCell ref="VU7:VW7"/>
    <mergeCell ref="UT7:UV7"/>
    <mergeCell ref="UW7:UY7"/>
    <mergeCell ref="UZ7:VB7"/>
    <mergeCell ref="VC7:VE7"/>
    <mergeCell ref="VF7:VH7"/>
    <mergeCell ref="UE7:UG7"/>
    <mergeCell ref="UH7:UJ7"/>
    <mergeCell ref="UK7:UM7"/>
    <mergeCell ref="UN7:UP7"/>
    <mergeCell ref="UQ7:US7"/>
    <mergeCell ref="TP7:TR7"/>
    <mergeCell ref="TS7:TU7"/>
    <mergeCell ref="TV7:TX7"/>
    <mergeCell ref="TY7:UA7"/>
    <mergeCell ref="UB7:UD7"/>
    <mergeCell ref="TA7:TC7"/>
    <mergeCell ref="TD7:TF7"/>
    <mergeCell ref="TG7:TI7"/>
    <mergeCell ref="TJ7:TL7"/>
    <mergeCell ref="TM7:TO7"/>
    <mergeCell ref="SL7:SN7"/>
    <mergeCell ref="SO7:SQ7"/>
    <mergeCell ref="SR7:ST7"/>
    <mergeCell ref="SU7:SW7"/>
    <mergeCell ref="SX7:SZ7"/>
    <mergeCell ref="RW7:RY7"/>
    <mergeCell ref="RZ7:SB7"/>
    <mergeCell ref="SC7:SE7"/>
    <mergeCell ref="SF7:SH7"/>
    <mergeCell ref="SI7:SK7"/>
    <mergeCell ref="RH7:RJ7"/>
    <mergeCell ref="RK7:RM7"/>
    <mergeCell ref="RN7:RP7"/>
    <mergeCell ref="RQ7:RS7"/>
    <mergeCell ref="RT7:RV7"/>
    <mergeCell ref="QS7:QU7"/>
    <mergeCell ref="QV7:QX7"/>
    <mergeCell ref="QY7:RA7"/>
    <mergeCell ref="RB7:RD7"/>
    <mergeCell ref="RE7:RG7"/>
    <mergeCell ref="QD7:QF7"/>
    <mergeCell ref="QG7:QI7"/>
    <mergeCell ref="QJ7:QL7"/>
    <mergeCell ref="QM7:QO7"/>
    <mergeCell ref="QP7:QR7"/>
    <mergeCell ref="PO7:PQ7"/>
    <mergeCell ref="PR7:PT7"/>
    <mergeCell ref="PU7:PW7"/>
    <mergeCell ref="PX7:PZ7"/>
    <mergeCell ref="QA7:QC7"/>
    <mergeCell ref="OZ7:PB7"/>
    <mergeCell ref="PC7:PE7"/>
    <mergeCell ref="PF7:PH7"/>
    <mergeCell ref="PI7:PK7"/>
    <mergeCell ref="PL7:PN7"/>
    <mergeCell ref="OK7:OM7"/>
    <mergeCell ref="ON7:OP7"/>
    <mergeCell ref="OQ7:OS7"/>
    <mergeCell ref="OT7:OV7"/>
    <mergeCell ref="OW7:OY7"/>
    <mergeCell ref="NV7:NX7"/>
    <mergeCell ref="NY7:OA7"/>
    <mergeCell ref="OB7:OD7"/>
    <mergeCell ref="OE7:OG7"/>
    <mergeCell ref="OH7:OJ7"/>
    <mergeCell ref="NG7:NI7"/>
    <mergeCell ref="NJ7:NL7"/>
    <mergeCell ref="NM7:NO7"/>
    <mergeCell ref="NP7:NR7"/>
    <mergeCell ref="NS7:NU7"/>
    <mergeCell ref="MR7:MT7"/>
    <mergeCell ref="MU7:MW7"/>
    <mergeCell ref="MX7:MZ7"/>
    <mergeCell ref="NA7:NC7"/>
    <mergeCell ref="ND7:NF7"/>
    <mergeCell ref="MC7:ME7"/>
    <mergeCell ref="MF7:MH7"/>
    <mergeCell ref="MI7:MK7"/>
    <mergeCell ref="ML7:MN7"/>
    <mergeCell ref="MO7:MQ7"/>
    <mergeCell ref="LN7:LP7"/>
    <mergeCell ref="LQ7:LS7"/>
    <mergeCell ref="LT7:LV7"/>
    <mergeCell ref="LW7:LY7"/>
    <mergeCell ref="LZ7:MB7"/>
    <mergeCell ref="KY7:LA7"/>
    <mergeCell ref="LB7:LD7"/>
    <mergeCell ref="LE7:LG7"/>
    <mergeCell ref="LH7:LJ7"/>
    <mergeCell ref="LK7:LM7"/>
    <mergeCell ref="KJ7:KL7"/>
    <mergeCell ref="KM7:KO7"/>
    <mergeCell ref="KP7:KR7"/>
    <mergeCell ref="KS7:KU7"/>
    <mergeCell ref="KV7:KX7"/>
    <mergeCell ref="JU7:JW7"/>
    <mergeCell ref="JX7:JZ7"/>
    <mergeCell ref="KA7:KC7"/>
    <mergeCell ref="KD7:KF7"/>
    <mergeCell ref="KG7:KI7"/>
    <mergeCell ref="JF7:JH7"/>
    <mergeCell ref="JI7:JK7"/>
    <mergeCell ref="JL7:JN7"/>
    <mergeCell ref="JO7:JQ7"/>
    <mergeCell ref="JR7:JT7"/>
    <mergeCell ref="IQ7:IS7"/>
    <mergeCell ref="IT7:IV7"/>
    <mergeCell ref="IW7:IY7"/>
    <mergeCell ref="IZ7:JB7"/>
    <mergeCell ref="JC7:JE7"/>
    <mergeCell ref="IB7:ID7"/>
    <mergeCell ref="IE7:IG7"/>
    <mergeCell ref="IH7:IJ7"/>
    <mergeCell ref="IK7:IM7"/>
    <mergeCell ref="IN7:IP7"/>
    <mergeCell ref="HM7:HO7"/>
    <mergeCell ref="HP7:HR7"/>
    <mergeCell ref="HS7:HU7"/>
    <mergeCell ref="HV7:HX7"/>
    <mergeCell ref="HY7:IA7"/>
    <mergeCell ref="GX7:GZ7"/>
    <mergeCell ref="HA7:HC7"/>
    <mergeCell ref="HD7:HF7"/>
    <mergeCell ref="HG7:HI7"/>
    <mergeCell ref="HJ7:HL7"/>
    <mergeCell ref="GI7:GK7"/>
    <mergeCell ref="GL7:GN7"/>
    <mergeCell ref="GO7:GQ7"/>
    <mergeCell ref="GR7:GT7"/>
    <mergeCell ref="GU7:GW7"/>
    <mergeCell ref="FT7:FV7"/>
    <mergeCell ref="FW7:FY7"/>
    <mergeCell ref="FZ7:GB7"/>
    <mergeCell ref="GC7:GE7"/>
    <mergeCell ref="GF7:GH7"/>
    <mergeCell ref="FE7:FG7"/>
    <mergeCell ref="FH7:FJ7"/>
    <mergeCell ref="FK7:FM7"/>
    <mergeCell ref="FN7:FP7"/>
    <mergeCell ref="FQ7:FS7"/>
    <mergeCell ref="EP7:ER7"/>
    <mergeCell ref="ES7:EU7"/>
    <mergeCell ref="EV7:EX7"/>
    <mergeCell ref="EY7:FA7"/>
    <mergeCell ref="FB7:FD7"/>
    <mergeCell ref="EA7:EC7"/>
    <mergeCell ref="ED7:EF7"/>
    <mergeCell ref="EG7:EI7"/>
    <mergeCell ref="EJ7:EL7"/>
    <mergeCell ref="EM7:EO7"/>
    <mergeCell ref="DL7:DN7"/>
    <mergeCell ref="DO7:DQ7"/>
    <mergeCell ref="DR7:DT7"/>
    <mergeCell ref="DU7:DW7"/>
    <mergeCell ref="DX7:DZ7"/>
    <mergeCell ref="CW7:CY7"/>
    <mergeCell ref="CZ7:DB7"/>
    <mergeCell ref="DC7:DE7"/>
    <mergeCell ref="DF7:DH7"/>
    <mergeCell ref="DI7:DK7"/>
    <mergeCell ref="CH7:CJ7"/>
    <mergeCell ref="CK7:CM7"/>
    <mergeCell ref="CN7:CP7"/>
    <mergeCell ref="CQ7:CS7"/>
    <mergeCell ref="CT7:CV7"/>
    <mergeCell ref="BS7:BU7"/>
    <mergeCell ref="BV7:BX7"/>
    <mergeCell ref="BY7:CA7"/>
    <mergeCell ref="CB7:CD7"/>
    <mergeCell ref="CE7:CG7"/>
    <mergeCell ref="A1:I1"/>
    <mergeCell ref="C22:C24"/>
    <mergeCell ref="A4:I4"/>
    <mergeCell ref="A2:I2"/>
    <mergeCell ref="BD7:BF7"/>
    <mergeCell ref="BG7:BI7"/>
    <mergeCell ref="BJ7:BL7"/>
    <mergeCell ref="BM7:BO7"/>
    <mergeCell ref="BP7:BR7"/>
    <mergeCell ref="AO7:AQ7"/>
    <mergeCell ref="AR7:AT7"/>
    <mergeCell ref="AU7:AW7"/>
    <mergeCell ref="AX7:AZ7"/>
    <mergeCell ref="BA7:BC7"/>
    <mergeCell ref="Z7:AB7"/>
    <mergeCell ref="AC7:AE7"/>
    <mergeCell ref="AF7:AH7"/>
    <mergeCell ref="AI7:AK7"/>
    <mergeCell ref="AL7:AN7"/>
    <mergeCell ref="N7:P7"/>
    <mergeCell ref="Q7:S7"/>
    <mergeCell ref="T7:V7"/>
    <mergeCell ref="W7:Y7"/>
  </mergeCells>
  <phoneticPr fontId="0" type="noConversion"/>
  <dataValidations count="3">
    <dataValidation type="date" operator="greaterThanOrEqual" allowBlank="1" showInputMessage="1" showErrorMessage="1" error="Dates only, please." sqref="E11:E20">
      <formula1>25569</formula1>
    </dataValidation>
    <dataValidation type="whole" allowBlank="1" showInputMessage="1" showErrorMessage="1" error="Numbers only please." sqref="C11:C20 G11:I20">
      <formula1>0</formula1>
      <formula2>100000000</formula2>
    </dataValidation>
    <dataValidation type="decimal" allowBlank="1" showInputMessage="1" showErrorMessage="1" promptTitle="Numbers only!" prompt="Numbers only between .01% thru 100% in this field; any other data should go in &quot;Repayment Terms&quot; cell." sqref="D11:D20">
      <formula1>0.0001</formula1>
      <formula2>1</formula2>
    </dataValidation>
  </dataValidations>
  <pageMargins left="0.7" right="0.7" top="0.75" bottom="0.75" header="0.3" footer="0.3"/>
  <pageSetup scale="5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24"/>
  <sheetViews>
    <sheetView showGridLines="0" zoomScale="90" zoomScaleNormal="90" workbookViewId="0">
      <selection activeCell="B8" sqref="B8"/>
    </sheetView>
  </sheetViews>
  <sheetFormatPr defaultColWidth="0" defaultRowHeight="0" customHeight="1" zeroHeight="1"/>
  <cols>
    <col min="1" max="1" width="63.109375" style="1" customWidth="1"/>
    <col min="2" max="2" width="33.6640625" customWidth="1"/>
    <col min="3" max="3" width="47.33203125" customWidth="1"/>
    <col min="4" max="4" width="40" customWidth="1"/>
    <col min="5" max="5" width="24.33203125" customWidth="1"/>
    <col min="6" max="6" width="21.5546875" customWidth="1"/>
    <col min="7" max="7" width="22.88671875" customWidth="1"/>
    <col min="8" max="8" width="4.6640625" style="83" hidden="1" customWidth="1"/>
    <col min="9" max="10" width="22.109375" hidden="1" customWidth="1"/>
    <col min="11" max="11" width="11.88671875" hidden="1" customWidth="1"/>
    <col min="12" max="16384" width="9.109375" hidden="1"/>
  </cols>
  <sheetData>
    <row r="1" spans="1:18" ht="189.75" customHeight="1" thickBot="1">
      <c r="A1" s="2200"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B1" s="2200"/>
      <c r="C1" s="2200"/>
      <c r="D1" s="2200"/>
      <c r="E1" s="2200"/>
      <c r="F1" s="2200"/>
      <c r="G1" s="2200"/>
      <c r="H1" s="1262"/>
      <c r="I1" s="414"/>
      <c r="J1" s="414"/>
      <c r="K1" s="400"/>
      <c r="L1" s="400"/>
      <c r="M1" s="400"/>
      <c r="N1" s="400"/>
      <c r="O1" s="400"/>
      <c r="P1" s="400"/>
      <c r="Q1" s="400"/>
      <c r="R1" s="400"/>
    </row>
    <row r="2" spans="1:18" ht="32.25" customHeight="1" thickBot="1">
      <c r="A2" s="2212" t="str">
        <f>'Completeness Tracker'!$O$23&amp;" "&amp;'Completeness Tracker'!$O$37&amp;" - "&amp;'Completeness Tracker'!$O$24&amp;'Completeness Tracker'!$O$39</f>
        <v>Annual Monitoring Report - Services Funding - Reporting Year 2018 - Mayor's Office of Housing &amp; Community Development</v>
      </c>
      <c r="B2" s="2212"/>
      <c r="C2" s="2212"/>
      <c r="D2" s="2212"/>
      <c r="E2" s="2212"/>
      <c r="F2" s="2212"/>
      <c r="G2" s="2212"/>
      <c r="H2" s="797"/>
      <c r="I2" s="555"/>
      <c r="J2" s="555"/>
      <c r="K2" s="555"/>
      <c r="L2" s="555"/>
      <c r="M2" s="555"/>
      <c r="N2" s="400"/>
      <c r="O2" s="400"/>
      <c r="P2" s="400"/>
      <c r="Q2" s="400"/>
      <c r="R2" s="400"/>
    </row>
    <row r="3" spans="1:18" ht="18.75" customHeight="1" thickBot="1">
      <c r="A3" s="770"/>
      <c r="B3" s="770"/>
      <c r="C3" s="770"/>
      <c r="D3" s="770"/>
      <c r="E3" s="770"/>
      <c r="F3" s="770"/>
      <c r="G3" s="770"/>
      <c r="H3" s="797"/>
      <c r="I3" s="555"/>
      <c r="J3" s="555"/>
      <c r="K3" s="555"/>
      <c r="L3" s="555"/>
      <c r="M3" s="555"/>
      <c r="N3" s="400"/>
      <c r="O3" s="400"/>
      <c r="P3" s="400"/>
      <c r="Q3" s="400"/>
      <c r="R3" s="400"/>
    </row>
    <row r="4" spans="1:18" ht="56.25" customHeight="1" thickBot="1">
      <c r="A4" s="2202" t="s">
        <v>1587</v>
      </c>
      <c r="B4" s="2203"/>
      <c r="C4" s="2203"/>
      <c r="D4" s="2203"/>
      <c r="E4" s="2203"/>
      <c r="F4" s="2203"/>
      <c r="G4" s="2204"/>
      <c r="H4" s="1261"/>
      <c r="I4" s="414"/>
      <c r="J4" s="414"/>
      <c r="K4" s="400"/>
      <c r="L4" s="400"/>
      <c r="M4" s="400"/>
      <c r="N4" s="400"/>
      <c r="O4" s="400"/>
      <c r="P4" s="400"/>
      <c r="Q4" s="400"/>
      <c r="R4" s="400"/>
    </row>
    <row r="5" spans="1:18" ht="20.25" customHeight="1" thickBot="1">
      <c r="A5" s="787" t="s">
        <v>1102</v>
      </c>
      <c r="B5" s="792" t="str">
        <f>' 1A.Prop&amp;Residents'!$S$9</f>
        <v/>
      </c>
      <c r="C5" s="785"/>
      <c r="D5" s="786"/>
      <c r="E5" s="786"/>
      <c r="F5" s="786"/>
      <c r="G5" s="786"/>
      <c r="H5" s="1265"/>
      <c r="I5" s="769"/>
      <c r="J5" s="769"/>
      <c r="K5" s="400"/>
      <c r="L5" s="400"/>
      <c r="M5" s="400"/>
      <c r="N5" s="400"/>
      <c r="O5" s="400"/>
      <c r="P5" s="400"/>
      <c r="Q5" s="400"/>
      <c r="R5" s="400"/>
    </row>
    <row r="6" spans="1:18" ht="18" thickBot="1">
      <c r="A6" s="2208" t="s">
        <v>414</v>
      </c>
      <c r="B6" s="2209"/>
      <c r="C6" s="2209"/>
      <c r="D6" s="2210"/>
      <c r="E6" s="2210"/>
      <c r="F6" s="2210"/>
      <c r="G6" s="2211"/>
      <c r="H6" s="1266"/>
    </row>
    <row r="7" spans="1:18" ht="29.25" customHeight="1">
      <c r="A7" s="487" t="s">
        <v>393</v>
      </c>
      <c r="B7" s="449" t="s">
        <v>394</v>
      </c>
      <c r="C7" s="449" t="s">
        <v>395</v>
      </c>
      <c r="D7" s="449" t="s">
        <v>410</v>
      </c>
      <c r="E7" s="449" t="s">
        <v>396</v>
      </c>
      <c r="F7" s="449" t="s">
        <v>397</v>
      </c>
      <c r="G7" s="449" t="s">
        <v>398</v>
      </c>
      <c r="H7" s="267" t="s">
        <v>266</v>
      </c>
      <c r="I7" s="267" t="s">
        <v>374</v>
      </c>
      <c r="L7" t="s">
        <v>377</v>
      </c>
    </row>
    <row r="8" spans="1:18" ht="13.2">
      <c r="A8" s="958" t="str">
        <f>IFERROR(VLOOKUP($K8,' 1A.Prop&amp;Residents'!$O$63:$P$73,2,FALSE),"")</f>
        <v/>
      </c>
      <c r="B8" s="686"/>
      <c r="C8" s="686"/>
      <c r="D8" s="686"/>
      <c r="E8" s="292"/>
      <c r="F8" s="427"/>
      <c r="G8" s="294"/>
      <c r="H8" s="37" t="e">
        <f>' 1A.Prop&amp;Residents'!A$7</f>
        <v>#N/A</v>
      </c>
      <c r="I8" s="37" t="str">
        <f>' 1A.Prop&amp;Residents'!B$7</f>
        <v/>
      </c>
      <c r="K8">
        <v>1</v>
      </c>
      <c r="L8" t="s">
        <v>399</v>
      </c>
    </row>
    <row r="9" spans="1:18" ht="13.2">
      <c r="A9" s="958" t="str">
        <f>IFERROR(VLOOKUP($K9,' 1A.Prop&amp;Residents'!$O$63:$P$73,2,FALSE),"")</f>
        <v/>
      </c>
      <c r="B9" s="686"/>
      <c r="C9" s="686"/>
      <c r="D9" s="686"/>
      <c r="E9" s="292"/>
      <c r="F9" s="427"/>
      <c r="G9" s="294"/>
      <c r="H9" s="37" t="e">
        <f>' 1A.Prop&amp;Residents'!A$7</f>
        <v>#N/A</v>
      </c>
      <c r="I9" s="37" t="str">
        <f>' 1A.Prop&amp;Residents'!B$7</f>
        <v/>
      </c>
      <c r="K9">
        <v>2</v>
      </c>
      <c r="L9" t="s">
        <v>400</v>
      </c>
    </row>
    <row r="10" spans="1:18" ht="13.2">
      <c r="A10" s="958" t="str">
        <f>IFERROR(VLOOKUP($K10,' 1A.Prop&amp;Residents'!$O$63:$P$73,2,FALSE),"")</f>
        <v/>
      </c>
      <c r="B10" s="686"/>
      <c r="C10" s="686"/>
      <c r="D10" s="686"/>
      <c r="E10" s="292"/>
      <c r="F10" s="427"/>
      <c r="G10" s="294"/>
      <c r="H10" s="37" t="e">
        <f>' 1A.Prop&amp;Residents'!A$7</f>
        <v>#N/A</v>
      </c>
      <c r="I10" s="37" t="str">
        <f>' 1A.Prop&amp;Residents'!B$7</f>
        <v/>
      </c>
      <c r="K10">
        <v>3</v>
      </c>
      <c r="L10" s="420" t="s">
        <v>409</v>
      </c>
    </row>
    <row r="11" spans="1:18" ht="13.2">
      <c r="A11" s="958" t="str">
        <f>IFERROR(VLOOKUP($K11,' 1A.Prop&amp;Residents'!$O$63:$P$73,2,FALSE),"")</f>
        <v/>
      </c>
      <c r="B11" s="686"/>
      <c r="C11" s="687"/>
      <c r="D11" s="687"/>
      <c r="E11" s="292"/>
      <c r="F11" s="427"/>
      <c r="G11" s="294"/>
      <c r="H11" s="37" t="e">
        <f>' 1A.Prop&amp;Residents'!A$7</f>
        <v>#N/A</v>
      </c>
      <c r="I11" s="37" t="str">
        <f>' 1A.Prop&amp;Residents'!B$7</f>
        <v/>
      </c>
      <c r="K11">
        <v>4</v>
      </c>
      <c r="L11" t="s">
        <v>401</v>
      </c>
    </row>
    <row r="12" spans="1:18" ht="13.2">
      <c r="A12" s="958" t="str">
        <f>IFERROR(VLOOKUP($K12,' 1A.Prop&amp;Residents'!$O$63:$P$73,2,FALSE),"")</f>
        <v/>
      </c>
      <c r="B12" s="686"/>
      <c r="C12" s="687"/>
      <c r="D12" s="687"/>
      <c r="E12" s="292"/>
      <c r="F12" s="427"/>
      <c r="G12" s="294"/>
      <c r="H12" s="37" t="e">
        <f>' 1A.Prop&amp;Residents'!A$7</f>
        <v>#N/A</v>
      </c>
      <c r="I12" s="37" t="str">
        <f>' 1A.Prop&amp;Residents'!B$7</f>
        <v/>
      </c>
      <c r="K12">
        <v>5</v>
      </c>
      <c r="L12" t="s">
        <v>402</v>
      </c>
    </row>
    <row r="13" spans="1:18" ht="13.2">
      <c r="A13" s="958" t="str">
        <f>IFERROR(VLOOKUP($K13,' 1A.Prop&amp;Residents'!$O$63:$P$73,2,FALSE),"")</f>
        <v/>
      </c>
      <c r="B13" s="687"/>
      <c r="C13" s="687"/>
      <c r="D13" s="687"/>
      <c r="E13" s="292"/>
      <c r="F13" s="427"/>
      <c r="G13" s="294"/>
      <c r="H13" s="37" t="e">
        <f>' 1A.Prop&amp;Residents'!A$7</f>
        <v>#N/A</v>
      </c>
      <c r="I13" s="37" t="str">
        <f>' 1A.Prop&amp;Residents'!B$7</f>
        <v/>
      </c>
      <c r="K13">
        <v>6</v>
      </c>
      <c r="L13" t="s">
        <v>403</v>
      </c>
    </row>
    <row r="14" spans="1:18" ht="13.2">
      <c r="A14" s="958" t="str">
        <f>IFERROR(VLOOKUP($K14,' 1A.Prop&amp;Residents'!$O$63:$P$73,2,FALSE),"")</f>
        <v/>
      </c>
      <c r="B14" s="687"/>
      <c r="C14" s="687"/>
      <c r="D14" s="687"/>
      <c r="E14" s="292"/>
      <c r="F14" s="427"/>
      <c r="G14" s="294"/>
      <c r="H14" s="37" t="e">
        <f>' 1A.Prop&amp;Residents'!A$7</f>
        <v>#N/A</v>
      </c>
      <c r="I14" s="37" t="str">
        <f>' 1A.Prop&amp;Residents'!B$7</f>
        <v/>
      </c>
      <c r="K14">
        <v>7</v>
      </c>
      <c r="L14" t="s">
        <v>404</v>
      </c>
    </row>
    <row r="15" spans="1:18" ht="13.2">
      <c r="A15" s="958" t="str">
        <f>IFERROR(VLOOKUP($K15,' 1A.Prop&amp;Residents'!$O$63:$P$73,2,FALSE),"")</f>
        <v/>
      </c>
      <c r="B15" s="687"/>
      <c r="C15" s="687"/>
      <c r="D15" s="687"/>
      <c r="E15" s="292"/>
      <c r="F15" s="427"/>
      <c r="G15" s="294"/>
      <c r="H15" s="37" t="e">
        <f>' 1A.Prop&amp;Residents'!A$7</f>
        <v>#N/A</v>
      </c>
      <c r="I15" s="37" t="str">
        <f>' 1A.Prop&amp;Residents'!B$7</f>
        <v/>
      </c>
      <c r="K15">
        <v>8</v>
      </c>
      <c r="L15" t="s">
        <v>405</v>
      </c>
    </row>
    <row r="16" spans="1:18" ht="13.2">
      <c r="A16" s="958" t="str">
        <f>IFERROR(VLOOKUP($K16,' 1A.Prop&amp;Residents'!$O$63:$P$73,2,FALSE),"")</f>
        <v/>
      </c>
      <c r="B16" s="687"/>
      <c r="C16" s="687"/>
      <c r="D16" s="687"/>
      <c r="E16" s="292"/>
      <c r="F16" s="427"/>
      <c r="G16" s="294"/>
      <c r="H16" s="37" t="e">
        <f>' 1A.Prop&amp;Residents'!A$7</f>
        <v>#N/A</v>
      </c>
      <c r="I16" s="37" t="str">
        <f>' 1A.Prop&amp;Residents'!B$7</f>
        <v/>
      </c>
      <c r="K16">
        <v>9</v>
      </c>
      <c r="L16" t="s">
        <v>406</v>
      </c>
    </row>
    <row r="17" spans="1:12" ht="13.2">
      <c r="A17" s="958" t="str">
        <f>IFERROR(VLOOKUP($K17,' 1A.Prop&amp;Residents'!$O$63:$P$73,2,FALSE),"")</f>
        <v/>
      </c>
      <c r="B17" s="687"/>
      <c r="C17" s="687"/>
      <c r="D17" s="687"/>
      <c r="E17" s="292"/>
      <c r="F17" s="427"/>
      <c r="G17" s="294"/>
      <c r="H17" s="37" t="e">
        <f>' 1A.Prop&amp;Residents'!A$7</f>
        <v>#N/A</v>
      </c>
      <c r="I17" s="37" t="str">
        <f>' 1A.Prop&amp;Residents'!B$7</f>
        <v/>
      </c>
      <c r="K17">
        <v>10</v>
      </c>
      <c r="L17" t="s">
        <v>407</v>
      </c>
    </row>
    <row r="18" spans="1:12" ht="13.2">
      <c r="A18" s="958" t="str">
        <f>IFERROR(VLOOKUP($K18,' 1A.Prop&amp;Residents'!$O$63:$P$73,2,FALSE),"")</f>
        <v/>
      </c>
      <c r="B18" s="687"/>
      <c r="C18" s="687"/>
      <c r="D18" s="687"/>
      <c r="E18" s="292"/>
      <c r="F18" s="427"/>
      <c r="G18" s="294"/>
      <c r="H18" s="37" t="e">
        <f>' 1A.Prop&amp;Residents'!A$7</f>
        <v>#N/A</v>
      </c>
      <c r="I18" s="37" t="str">
        <f>' 1A.Prop&amp;Residents'!B$7</f>
        <v/>
      </c>
      <c r="K18">
        <v>11</v>
      </c>
    </row>
    <row r="19" spans="1:12" ht="13.2" hidden="1">
      <c r="A19" s="16"/>
      <c r="B19" s="421"/>
      <c r="C19" s="422"/>
      <c r="D19" s="423"/>
      <c r="E19" s="424"/>
      <c r="F19" s="425"/>
      <c r="G19" s="422"/>
      <c r="H19" s="426"/>
      <c r="I19" s="426"/>
    </row>
    <row r="20" spans="1:12" ht="13.8" hidden="1" thickBot="1"/>
    <row r="21" spans="1:12" ht="12.75" hidden="1" customHeight="1" thickBot="1">
      <c r="D21" s="428">
        <f>COUNTIF(C8:C18, "**")</f>
        <v>0</v>
      </c>
      <c r="E21" s="2207" t="s">
        <v>455</v>
      </c>
      <c r="F21" s="2207"/>
    </row>
    <row r="22" spans="1:12" ht="13.2" hidden="1">
      <c r="E22" s="2207"/>
      <c r="F22" s="2207"/>
    </row>
    <row r="23" spans="1:12" ht="13.2" hidden="1">
      <c r="D23" s="416"/>
    </row>
    <row r="24" spans="1:12" ht="12.75" hidden="1" customHeight="1"/>
  </sheetData>
  <sheetProtection algorithmName="SHA-512" hashValue="kcn7Up9YpKiyPAxTGyZqWAYwezXQSBEm56nN/TeWPSueSJtzxI9WE5EBvdiALBPRd4Rd4RM8yImOUU9kc1DiBw==" saltValue="nwUT4abk6GYt5yTDs7boQw==" spinCount="100000" sheet="1" objects="1" scenarios="1" selectLockedCells="1"/>
  <customSheetViews>
    <customSheetView guid="{BE27EBD8-ED47-4D05-A191-2893A8781B62}" fitToPage="1" hiddenRows="1" hiddenColumns="1" topLeftCell="A2">
      <selection sqref="A1:G1"/>
      <pageMargins left="0.7" right="0.7" top="0.75" bottom="0.75" header="0.3" footer="0.3"/>
      <pageSetup scale="49" orientation="landscape" r:id="rId1"/>
    </customSheetView>
  </customSheetViews>
  <mergeCells count="6">
    <mergeCell ref="E21:F22"/>
    <mergeCell ref="A1:G1"/>
    <mergeCell ref="A4:G4"/>
    <mergeCell ref="A6:C6"/>
    <mergeCell ref="D6:G6"/>
    <mergeCell ref="A2:G2"/>
  </mergeCells>
  <dataValidations count="5">
    <dataValidation type="decimal" allowBlank="1" showInputMessage="1" showErrorMessage="1" promptTitle="Numbers only!" prompt="Numbers only between .01% thru 100% in this field; any other data should go in &quot;Repayment Terms&quot; cell." sqref="D19">
      <formula1>0.0001</formula1>
      <formula2>1</formula2>
    </dataValidation>
    <dataValidation type="whole" allowBlank="1" showInputMessage="1" showErrorMessage="1" error="Numbers only please." sqref="C19 G19">
      <formula1>0</formula1>
      <formula2>100000000</formula2>
    </dataValidation>
    <dataValidation type="date" operator="greaterThanOrEqual" allowBlank="1" showInputMessage="1" showErrorMessage="1" error="Dates only, please." sqref="E19">
      <formula1>25569</formula1>
    </dataValidation>
    <dataValidation type="date" operator="greaterThan" allowBlank="1" showInputMessage="1" showErrorMessage="1" error="Numbers only please." sqref="F8:G18">
      <formula1>1</formula1>
    </dataValidation>
    <dataValidation type="whole" allowBlank="1" showInputMessage="1" showErrorMessage="1" error="Numbers only please." sqref="E8:E18">
      <formula1>0</formula1>
      <formula2>10000000000</formula2>
    </dataValidation>
  </dataValidations>
  <pageMargins left="0.7" right="0.7" top="0.75" bottom="0.75" header="0.3" footer="0.3"/>
  <pageSetup scale="4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160"/>
  <sheetViews>
    <sheetView showGridLines="0" zoomScaleNormal="100" workbookViewId="0">
      <selection activeCell="A28" sqref="A28"/>
    </sheetView>
  </sheetViews>
  <sheetFormatPr defaultColWidth="0" defaultRowHeight="13.2" zeroHeight="1" outlineLevelCol="1"/>
  <cols>
    <col min="1" max="1" width="9.109375" customWidth="1"/>
    <col min="2" max="2" width="47.88671875" customWidth="1"/>
    <col min="3" max="3" width="10.44140625" customWidth="1"/>
    <col min="4" max="4" width="3.6640625" customWidth="1"/>
    <col min="5" max="5" width="15.6640625" customWidth="1"/>
    <col min="6" max="6" width="12.88671875" hidden="1" customWidth="1" outlineLevel="1"/>
    <col min="7" max="7" width="15.6640625" hidden="1" customWidth="1" outlineLevel="1"/>
    <col min="8" max="8" width="13" style="5" customWidth="1" collapsed="1"/>
    <col min="9" max="10" width="13" style="19" hidden="1" customWidth="1"/>
    <col min="11" max="11" width="7.88671875" customWidth="1"/>
    <col min="12" max="12" width="24.88671875" customWidth="1"/>
    <col min="13" max="14" width="9.109375" customWidth="1"/>
    <col min="15" max="15" width="13" customWidth="1"/>
    <col min="16" max="16" width="9.109375" customWidth="1"/>
    <col min="17" max="17" width="13.5546875" customWidth="1"/>
    <col min="18" max="19" width="13.5546875" hidden="1" customWidth="1" outlineLevel="1"/>
    <col min="20" max="20" width="9.109375" customWidth="1" collapsed="1"/>
    <col min="21" max="24" width="9.109375" customWidth="1"/>
    <col min="25" max="25" width="15.5546875" customWidth="1"/>
    <col min="26" max="26" width="6.5546875" customWidth="1"/>
    <col min="27" max="27" width="12.109375" customWidth="1"/>
    <col min="28" max="28" width="9.109375" customWidth="1"/>
    <col min="29" max="16384" width="9.109375" hidden="1"/>
  </cols>
  <sheetData>
    <row r="1" spans="1:29"/>
    <row r="2" spans="1:29">
      <c r="L2" s="83"/>
      <c r="M2" s="83"/>
    </row>
    <row r="3" spans="1:29" ht="13.8">
      <c r="A3" s="978" t="str">
        <f>'Completeness Tracker'!$O$23&amp;" "&amp;'Completeness Tracker'!$O$38&amp;" - "</f>
        <v xml:space="preserve">Annual Monitoring Report - Supplementary Information Required by MOHCD - </v>
      </c>
      <c r="B3" s="966"/>
      <c r="C3" s="966"/>
      <c r="D3" s="966"/>
      <c r="E3" s="966"/>
      <c r="F3" s="810"/>
      <c r="G3" s="810"/>
      <c r="H3" s="1070"/>
      <c r="I3" s="929"/>
      <c r="J3" s="929"/>
      <c r="K3" s="978" t="str">
        <f>'Completeness Tracker'!$O$23&amp;" "&amp;'Completeness Tracker'!$O$38&amp;" - "</f>
        <v xml:space="preserve">Annual Monitoring Report - Supplementary Information Required by MOHCD - </v>
      </c>
      <c r="L3" s="966"/>
      <c r="M3" s="966"/>
      <c r="N3" s="966"/>
      <c r="O3" s="966"/>
      <c r="P3" s="966"/>
      <c r="Q3" s="966"/>
      <c r="R3" s="967"/>
      <c r="S3" s="967"/>
      <c r="U3" s="979" t="str">
        <f>'Completeness Tracker'!$O$23&amp;" "&amp;'Completeness Tracker'!$O$38&amp;" - "</f>
        <v xml:space="preserve">Annual Monitoring Report - Supplementary Information Required by MOHCD - </v>
      </c>
      <c r="V3" s="966"/>
      <c r="W3" s="966"/>
      <c r="X3" s="966"/>
      <c r="Y3" s="966"/>
      <c r="Z3" s="966"/>
      <c r="AA3" s="966"/>
      <c r="AB3" s="966"/>
    </row>
    <row r="4" spans="1:29" ht="13.8">
      <c r="A4" s="978" t="str">
        <f>'Completeness Tracker'!$O$24&amp;" "&amp;'Completeness Tracker'!$O$39</f>
        <v>Reporting Year 2018 -  Mayor's Office of Housing &amp; Community Development</v>
      </c>
      <c r="B4" s="966"/>
      <c r="C4" s="966"/>
      <c r="D4" s="966"/>
      <c r="E4" s="966"/>
      <c r="F4" s="811"/>
      <c r="G4" s="811"/>
      <c r="H4" s="1070"/>
      <c r="I4" s="930"/>
      <c r="J4" s="930"/>
      <c r="K4" s="978" t="str">
        <f>'Completeness Tracker'!$O$24&amp;" "&amp;'Completeness Tracker'!$O$39</f>
        <v>Reporting Year 2018 -  Mayor's Office of Housing &amp; Community Development</v>
      </c>
      <c r="L4" s="966"/>
      <c r="M4" s="966"/>
      <c r="N4" s="966"/>
      <c r="O4" s="966"/>
      <c r="P4" s="966"/>
      <c r="Q4" s="966"/>
      <c r="R4" s="967"/>
      <c r="S4" s="967"/>
      <c r="U4" s="979" t="str">
        <f>'Completeness Tracker'!$O$24&amp;" "&amp;'Completeness Tracker'!$O$39</f>
        <v>Reporting Year 2018 -  Mayor's Office of Housing &amp; Community Development</v>
      </c>
      <c r="V4" s="966"/>
      <c r="W4" s="966"/>
      <c r="X4" s="966"/>
      <c r="Y4" s="966"/>
      <c r="Z4" s="966"/>
      <c r="AA4" s="966"/>
      <c r="AB4" s="966"/>
    </row>
    <row r="5" spans="1:29" ht="13.8">
      <c r="A5" s="179" t="s">
        <v>184</v>
      </c>
      <c r="B5" s="179"/>
      <c r="C5" s="179"/>
      <c r="E5" s="813" t="str">
        <f>' 1A.Prop&amp;Residents'!$S$9</f>
        <v/>
      </c>
      <c r="F5" s="813"/>
      <c r="G5" s="813"/>
      <c r="H5" s="947"/>
      <c r="I5" s="931"/>
      <c r="J5" s="931"/>
      <c r="K5" s="179" t="s">
        <v>184</v>
      </c>
      <c r="Q5" s="813" t="str">
        <f>E5</f>
        <v/>
      </c>
      <c r="U5" s="179" t="s">
        <v>184</v>
      </c>
      <c r="V5" s="179"/>
      <c r="W5" s="179"/>
      <c r="Y5" s="813" t="str">
        <f>' 1A.Prop&amp;Residents'!$S$9</f>
        <v/>
      </c>
      <c r="AC5" s="806"/>
    </row>
    <row r="6" spans="1:29" ht="17.399999999999999">
      <c r="A6" s="14"/>
      <c r="B6" s="89"/>
      <c r="C6" s="89"/>
      <c r="D6" s="800"/>
      <c r="E6" s="801"/>
      <c r="F6" s="893"/>
      <c r="G6" s="893"/>
      <c r="I6" s="5"/>
      <c r="J6" s="5"/>
      <c r="U6" s="801"/>
      <c r="V6" s="801"/>
      <c r="AC6" s="806"/>
    </row>
    <row r="7" spans="1:29" ht="15">
      <c r="A7" s="812" t="s">
        <v>1112</v>
      </c>
      <c r="B7" s="809"/>
      <c r="C7" s="809"/>
      <c r="D7" s="809"/>
      <c r="E7" s="809"/>
      <c r="F7" s="809"/>
      <c r="G7" s="809"/>
      <c r="I7" s="943" t="s">
        <v>1265</v>
      </c>
      <c r="J7" s="944"/>
      <c r="K7" s="812" t="s">
        <v>1136</v>
      </c>
      <c r="L7" s="809"/>
      <c r="M7" s="809"/>
      <c r="N7" s="809"/>
      <c r="O7" s="809"/>
      <c r="P7" s="809"/>
      <c r="Q7" s="809"/>
      <c r="R7" s="809"/>
      <c r="S7" s="809"/>
      <c r="U7" s="812" t="s">
        <v>1132</v>
      </c>
      <c r="V7" s="809"/>
      <c r="W7" s="809"/>
      <c r="X7" s="809"/>
      <c r="Y7" s="809"/>
      <c r="Z7" s="809"/>
      <c r="AA7" s="809"/>
      <c r="AB7" s="809"/>
      <c r="AC7" s="806"/>
    </row>
    <row r="8" spans="1:29" ht="15">
      <c r="A8" s="812" t="str">
        <f>"For the Year Ended "&amp;TEXT(' 1A.Prop&amp;Residents'!$G$13,"mmmm")&amp;" "&amp;DAY(' 1A.Prop&amp;Residents'!$G$13)&amp;", "&amp;YEAR(' 1A.Prop&amp;Residents'!$G$13)</f>
        <v>For the Year Ended January 0, 1900</v>
      </c>
      <c r="B8" s="808"/>
      <c r="C8" s="808"/>
      <c r="D8" s="808"/>
      <c r="E8" s="808"/>
      <c r="F8" s="808"/>
      <c r="G8" s="808"/>
      <c r="H8" s="937"/>
      <c r="I8" s="943" t="s">
        <v>1263</v>
      </c>
      <c r="J8" s="945"/>
      <c r="K8" s="812" t="str">
        <f>$A$8</f>
        <v>For the Year Ended January 0, 1900</v>
      </c>
      <c r="L8" s="809"/>
      <c r="M8" s="809"/>
      <c r="N8" s="809"/>
      <c r="O8" s="809"/>
      <c r="P8" s="809"/>
      <c r="Q8" s="809"/>
      <c r="R8" s="809"/>
      <c r="S8" s="809"/>
      <c r="U8" s="812" t="str">
        <f>$A$8</f>
        <v>For the Year Ended January 0, 1900</v>
      </c>
      <c r="V8" s="809"/>
      <c r="W8" s="809"/>
      <c r="X8" s="809"/>
      <c r="Y8" s="809"/>
      <c r="Z8" s="809"/>
      <c r="AA8" s="809"/>
      <c r="AB8" s="809"/>
      <c r="AC8" s="806"/>
    </row>
    <row r="9" spans="1:29" ht="15">
      <c r="A9" s="179"/>
      <c r="B9" s="179"/>
      <c r="C9" s="179"/>
      <c r="D9" s="179"/>
      <c r="E9" s="179"/>
      <c r="F9" s="179"/>
      <c r="G9" s="179"/>
      <c r="H9" s="937"/>
      <c r="I9" s="943" t="s">
        <v>1264</v>
      </c>
      <c r="J9" s="945"/>
      <c r="AC9" s="806"/>
    </row>
    <row r="10" spans="1:29" ht="27.6">
      <c r="A10" s="179"/>
      <c r="B10" s="179"/>
      <c r="C10" s="179"/>
      <c r="D10" s="179"/>
      <c r="E10" s="894" t="str">
        <f>IF(' 1A.Prop&amp;Residents'!$G$13&lt;&gt;"",YEAR(' 1A.Prop&amp;Residents'!$G$13),"")</f>
        <v/>
      </c>
      <c r="F10" s="894"/>
      <c r="G10" s="894"/>
      <c r="H10" s="938"/>
      <c r="I10" s="938"/>
      <c r="J10" s="938"/>
      <c r="Q10" s="823" t="s">
        <v>151</v>
      </c>
      <c r="R10" s="823" t="s">
        <v>59</v>
      </c>
      <c r="S10" s="823" t="s">
        <v>1201</v>
      </c>
      <c r="Y10" s="822" t="s">
        <v>238</v>
      </c>
      <c r="Z10" s="823"/>
      <c r="AA10" s="822" t="s">
        <v>1133</v>
      </c>
      <c r="AC10" s="806"/>
    </row>
    <row r="11" spans="1:29" ht="13.8">
      <c r="A11" s="179"/>
      <c r="B11" s="814" t="s">
        <v>1126</v>
      </c>
      <c r="C11" s="179"/>
      <c r="D11" s="179"/>
      <c r="E11" s="823" t="s">
        <v>151</v>
      </c>
      <c r="F11" s="823" t="s">
        <v>59</v>
      </c>
      <c r="G11" s="823" t="s">
        <v>1201</v>
      </c>
      <c r="H11" s="947"/>
      <c r="I11" s="932"/>
      <c r="J11" s="932"/>
      <c r="K11" s="814" t="s">
        <v>1198</v>
      </c>
      <c r="L11" s="179"/>
      <c r="M11" s="179"/>
      <c r="N11" s="179"/>
      <c r="Q11" s="815">
        <f>E33</f>
        <v>0</v>
      </c>
      <c r="R11" s="815">
        <f>F33</f>
        <v>0</v>
      </c>
      <c r="S11" s="815">
        <f>G33</f>
        <v>0</v>
      </c>
      <c r="U11" s="179" t="str">
        <f>"Balance, December 31, "&amp;YEAR(' 1A.Prop&amp;Residents'!$G$13)-1</f>
        <v>Balance, December 31, 1899</v>
      </c>
      <c r="Y11" s="815">
        <f>'2.Fiscal'!D191</f>
        <v>0</v>
      </c>
      <c r="Z11" s="815"/>
      <c r="AA11" s="815">
        <f>'2.Fiscal'!D180</f>
        <v>0</v>
      </c>
      <c r="AC11" s="806"/>
    </row>
    <row r="12" spans="1:29" ht="13.8">
      <c r="A12" s="179">
        <f>'2.Fiscal'!D23</f>
        <v>5120</v>
      </c>
      <c r="B12" s="179" t="s">
        <v>1127</v>
      </c>
      <c r="C12" s="179"/>
      <c r="D12" s="179"/>
      <c r="E12" s="815">
        <f>'2.Fiscal'!F23</f>
        <v>0</v>
      </c>
      <c r="F12" s="815">
        <f>'2.Fiscal'!L23</f>
        <v>0</v>
      </c>
      <c r="G12" s="815">
        <f>'2.Fiscal'!N23</f>
        <v>0</v>
      </c>
      <c r="H12" s="946"/>
      <c r="I12" s="872"/>
      <c r="J12" s="872"/>
      <c r="K12" s="179" t="s">
        <v>1344</v>
      </c>
      <c r="L12" s="179"/>
      <c r="M12" s="179"/>
      <c r="N12" s="179"/>
      <c r="Q12" s="817">
        <f>-E28</f>
        <v>0</v>
      </c>
      <c r="R12" s="816">
        <f>-F28</f>
        <v>0</v>
      </c>
      <c r="S12" s="815">
        <f>-G28</f>
        <v>0</v>
      </c>
      <c r="U12" s="179" t="s">
        <v>1134</v>
      </c>
      <c r="Y12" s="815">
        <f>'2.Fiscal'!D192</f>
        <v>0</v>
      </c>
      <c r="Z12" s="816"/>
      <c r="AA12" s="815">
        <f>'2.Fiscal'!D181</f>
        <v>0</v>
      </c>
      <c r="AC12" s="806"/>
    </row>
    <row r="13" spans="1:29" ht="13.8">
      <c r="A13" s="179">
        <f>'2.Fiscal'!D24</f>
        <v>5121</v>
      </c>
      <c r="B13" s="179" t="s">
        <v>1128</v>
      </c>
      <c r="C13" s="179"/>
      <c r="D13" s="179"/>
      <c r="E13" s="815">
        <f>'2.Fiscal'!F24</f>
        <v>0</v>
      </c>
      <c r="F13" s="816">
        <f>'2.Fiscal'!L24</f>
        <v>0</v>
      </c>
      <c r="G13" s="816">
        <f>'2.Fiscal'!N24</f>
        <v>0</v>
      </c>
      <c r="H13" s="948"/>
      <c r="I13" s="933"/>
      <c r="J13" s="933"/>
      <c r="K13" s="179"/>
      <c r="L13" s="179"/>
      <c r="M13" s="179"/>
      <c r="N13" s="179"/>
      <c r="P13" s="807" t="s">
        <v>1345</v>
      </c>
      <c r="Q13" s="817">
        <f>Q11+Q12</f>
        <v>0</v>
      </c>
      <c r="R13" s="817">
        <f>R11+R12</f>
        <v>0</v>
      </c>
      <c r="S13" s="817">
        <f>S11+S12</f>
        <v>0</v>
      </c>
      <c r="U13" s="179" t="s">
        <v>1211</v>
      </c>
      <c r="Y13" s="815">
        <f>'2.Fiscal'!D193</f>
        <v>0</v>
      </c>
      <c r="Z13" s="816"/>
      <c r="AA13" s="815">
        <f>'2.Fiscal'!D182</f>
        <v>0</v>
      </c>
      <c r="AC13" s="806"/>
    </row>
    <row r="14" spans="1:29" ht="13.8">
      <c r="A14" s="179">
        <f>'2.Fiscal'!D26</f>
        <v>5140</v>
      </c>
      <c r="B14" s="179" t="s">
        <v>459</v>
      </c>
      <c r="C14" s="179"/>
      <c r="D14" s="179"/>
      <c r="E14" s="817">
        <f>'2.Fiscal'!H26</f>
        <v>0</v>
      </c>
      <c r="F14" s="895"/>
      <c r="G14" s="895"/>
      <c r="H14" s="949"/>
      <c r="I14" s="934"/>
      <c r="J14" s="934"/>
      <c r="K14" s="179"/>
      <c r="L14" s="179"/>
      <c r="M14" s="179"/>
      <c r="N14" s="179"/>
      <c r="Q14" s="179"/>
      <c r="R14" s="816"/>
      <c r="S14" s="815"/>
      <c r="U14" s="179" t="s">
        <v>1135</v>
      </c>
      <c r="Y14" s="817">
        <f>'2.Fiscal'!D194</f>
        <v>0</v>
      </c>
      <c r="Z14" s="816"/>
      <c r="AA14" s="817">
        <f>'2.Fiscal'!D183</f>
        <v>0</v>
      </c>
      <c r="AC14" s="806"/>
    </row>
    <row r="15" spans="1:29" ht="13.8">
      <c r="A15" s="179"/>
      <c r="B15" s="179"/>
      <c r="D15" s="813" t="s">
        <v>1114</v>
      </c>
      <c r="E15" s="820">
        <f>SUM(E12:E14)</f>
        <v>0</v>
      </c>
      <c r="F15" s="820">
        <f t="shared" ref="F15:G15" si="0">SUM(F12:F14)</f>
        <v>0</v>
      </c>
      <c r="G15" s="820">
        <f t="shared" si="0"/>
        <v>0</v>
      </c>
      <c r="H15" s="950"/>
      <c r="I15" s="935"/>
      <c r="J15" s="935"/>
      <c r="K15" s="814" t="s">
        <v>265</v>
      </c>
      <c r="L15" s="179"/>
      <c r="M15" s="179"/>
      <c r="N15" s="179"/>
      <c r="Q15" s="815">
        <f>-E105</f>
        <v>0</v>
      </c>
      <c r="R15" s="815">
        <f>-F105</f>
        <v>0</v>
      </c>
      <c r="S15" s="815">
        <f>-G105</f>
        <v>0</v>
      </c>
      <c r="U15" s="179" t="str">
        <f>"Balance, December 31, "&amp;YEAR(' 1A.Prop&amp;Residents'!$G$13)</f>
        <v>Balance, December 31, 1900</v>
      </c>
      <c r="Y15" s="817">
        <f>'2.Fiscal'!D195</f>
        <v>0</v>
      </c>
      <c r="AA15" s="817">
        <f>'2.Fiscal'!D184</f>
        <v>0</v>
      </c>
      <c r="AC15" s="806"/>
    </row>
    <row r="16" spans="1:29" ht="13.8">
      <c r="A16" s="179"/>
      <c r="B16" s="179"/>
      <c r="C16" s="179"/>
      <c r="D16" s="179"/>
      <c r="E16" s="179"/>
      <c r="F16" s="179"/>
      <c r="G16" s="179"/>
      <c r="H16" s="937"/>
      <c r="I16" s="826"/>
      <c r="J16" s="826"/>
      <c r="K16" s="179"/>
      <c r="L16" s="179"/>
      <c r="M16" s="179"/>
      <c r="N16" s="179"/>
      <c r="Q16" s="179"/>
      <c r="R16" s="815"/>
      <c r="S16" s="815"/>
    </row>
    <row r="17" spans="1:27" ht="13.8">
      <c r="A17" s="179"/>
      <c r="B17" s="814" t="s">
        <v>1113</v>
      </c>
      <c r="C17" s="179"/>
      <c r="D17" s="179"/>
      <c r="E17" s="179"/>
      <c r="F17" s="179"/>
      <c r="G17" s="179"/>
      <c r="H17" s="937"/>
      <c r="I17" s="826"/>
      <c r="J17" s="826"/>
      <c r="K17" s="814" t="s">
        <v>1137</v>
      </c>
      <c r="L17" s="179"/>
      <c r="M17" s="179"/>
      <c r="N17" s="179"/>
      <c r="Q17" s="815">
        <f>Q13+Q15</f>
        <v>0</v>
      </c>
      <c r="R17" s="815">
        <f>R13+R15</f>
        <v>0</v>
      </c>
      <c r="S17" s="815">
        <f>S13+S15</f>
        <v>0</v>
      </c>
    </row>
    <row r="18" spans="1:27" ht="13.8">
      <c r="A18" s="179">
        <f>'2.Fiscal'!D29</f>
        <v>5220</v>
      </c>
      <c r="B18" s="179" t="s">
        <v>1120</v>
      </c>
      <c r="C18" s="179"/>
      <c r="D18" s="179"/>
      <c r="E18" s="815">
        <f>'2.Fiscal'!F29</f>
        <v>0</v>
      </c>
      <c r="F18" s="815">
        <f>'2.Fiscal'!L29</f>
        <v>0</v>
      </c>
      <c r="G18" s="815">
        <f>'2.Fiscal'!N29</f>
        <v>0</v>
      </c>
      <c r="H18" s="946"/>
      <c r="I18" s="872"/>
      <c r="J18" s="872"/>
      <c r="K18" s="179"/>
      <c r="L18" s="179"/>
      <c r="M18" s="179"/>
      <c r="N18" s="179"/>
      <c r="Q18" s="179"/>
      <c r="R18" s="179"/>
      <c r="S18" s="179"/>
    </row>
    <row r="19" spans="1:27" ht="15.6" customHeight="1">
      <c r="A19" s="179">
        <f>'2.Fiscal'!D30</f>
        <v>5240</v>
      </c>
      <c r="B19" s="179" t="s">
        <v>1121</v>
      </c>
      <c r="C19" s="179"/>
      <c r="D19" s="179"/>
      <c r="E19" s="817">
        <f>'2.Fiscal'!H30</f>
        <v>0</v>
      </c>
      <c r="F19" s="895"/>
      <c r="G19" s="895"/>
      <c r="H19" s="949"/>
      <c r="I19" s="934"/>
      <c r="J19" s="934"/>
      <c r="K19" s="814" t="s">
        <v>1138</v>
      </c>
      <c r="L19" s="179"/>
      <c r="M19" s="179"/>
      <c r="N19" s="179"/>
      <c r="Q19" s="179"/>
      <c r="R19" s="815"/>
      <c r="S19" s="815"/>
      <c r="U19" s="2216" t="str">
        <f>'Completeness Tracker'!$P$38&amp;" "&amp;'Completeness Tracker'!$O$38</f>
        <v>Worksheet 7. Supplementary Information Required by MOHCD</v>
      </c>
      <c r="V19" s="2216"/>
      <c r="W19" s="2213" t="str">
        <f>IF('7.SuppInfo-Audit'!$I$139&lt;&gt;21, "Worksheet incomplete. If using AMR to generate Schedules required for Auditied Financial Statement, please complete the required data entry.", "COMPLETED")</f>
        <v>Worksheet incomplete. If using AMR to generate Schedules required for Auditied Financial Statement, please complete the required data entry.</v>
      </c>
      <c r="X19" s="2213"/>
      <c r="Y19" s="2213"/>
      <c r="Z19" s="2213"/>
      <c r="AA19" s="2213"/>
    </row>
    <row r="20" spans="1:27" ht="15.6" customHeight="1">
      <c r="A20" s="179"/>
      <c r="B20" s="179"/>
      <c r="C20" s="179"/>
      <c r="D20" s="813" t="s">
        <v>1115</v>
      </c>
      <c r="E20" s="820">
        <f>SUM(E18:E19)</f>
        <v>0</v>
      </c>
      <c r="F20" s="820">
        <f t="shared" ref="F20:G20" si="1">SUM(F18:F19)</f>
        <v>0</v>
      </c>
      <c r="G20" s="820">
        <f t="shared" si="1"/>
        <v>0</v>
      </c>
      <c r="H20" s="950"/>
      <c r="I20" s="935"/>
      <c r="J20" s="935"/>
      <c r="K20" s="420" t="s">
        <v>1139</v>
      </c>
      <c r="L20" s="179"/>
      <c r="M20" s="179"/>
      <c r="N20" s="179"/>
      <c r="Q20" s="815">
        <f>-SUM('2.Fiscal'!F107:H107)</f>
        <v>0</v>
      </c>
      <c r="R20" s="815">
        <f>-'2.Fiscal'!L107</f>
        <v>0</v>
      </c>
      <c r="S20" s="815">
        <f>-'2.Fiscal'!N107</f>
        <v>0</v>
      </c>
      <c r="U20" s="2216"/>
      <c r="V20" s="2216"/>
      <c r="W20" s="2213"/>
      <c r="X20" s="2213"/>
      <c r="Y20" s="2213"/>
      <c r="Z20" s="2213"/>
      <c r="AA20" s="2213"/>
    </row>
    <row r="21" spans="1:27" ht="15.6" customHeight="1">
      <c r="A21" s="179"/>
      <c r="B21" s="179"/>
      <c r="C21" s="179"/>
      <c r="D21" s="813" t="s">
        <v>1116</v>
      </c>
      <c r="E21" s="820">
        <f>E15+E20</f>
        <v>0</v>
      </c>
      <c r="F21" s="820">
        <f t="shared" ref="F21:G21" si="2">F15+F20</f>
        <v>0</v>
      </c>
      <c r="G21" s="820">
        <f t="shared" si="2"/>
        <v>0</v>
      </c>
      <c r="H21" s="950"/>
      <c r="I21" s="935"/>
      <c r="J21" s="935"/>
      <c r="K21" s="420" t="s">
        <v>1268</v>
      </c>
      <c r="L21" s="179"/>
      <c r="M21" s="179"/>
      <c r="N21" s="179"/>
      <c r="Q21" s="815">
        <f>-SUM('2.Fiscal'!F108:H108)</f>
        <v>0</v>
      </c>
      <c r="R21" s="816">
        <f>-'2.Fiscal'!L108</f>
        <v>0</v>
      </c>
      <c r="S21" s="816">
        <f>-'2.Fiscal'!N108</f>
        <v>0</v>
      </c>
      <c r="U21" s="2216"/>
      <c r="V21" s="2216"/>
      <c r="W21" s="2213"/>
      <c r="X21" s="2213"/>
      <c r="Y21" s="2213"/>
      <c r="Z21" s="2213"/>
      <c r="AA21" s="2213"/>
    </row>
    <row r="22" spans="1:27" ht="15.6" customHeight="1">
      <c r="A22" s="179"/>
      <c r="B22" s="179"/>
      <c r="C22" s="179"/>
      <c r="D22" s="795"/>
      <c r="E22" s="818"/>
      <c r="F22" s="818"/>
      <c r="G22" s="818"/>
      <c r="H22" s="951"/>
      <c r="I22" s="936"/>
      <c r="J22" s="936"/>
      <c r="K22" s="420" t="s">
        <v>1202</v>
      </c>
      <c r="L22" s="179"/>
      <c r="M22" s="179"/>
      <c r="N22" s="179"/>
      <c r="Q22" s="815">
        <f>-SUM('2.Fiscal'!F123:H123,'2.Fiscal'!F126:H126,'2.Fiscal'!F129:H129,'2.Fiscal'!F132:H132)</f>
        <v>0</v>
      </c>
      <c r="R22" s="816">
        <f>-SUM('2.Fiscal'!L123,'2.Fiscal'!L126,'2.Fiscal'!L129,'2.Fiscal'!L132)</f>
        <v>0</v>
      </c>
      <c r="S22" s="816">
        <f>-SUM('2.Fiscal'!N123,'2.Fiscal'!N126,'2.Fiscal'!N129,'2.Fiscal'!N132)</f>
        <v>0</v>
      </c>
    </row>
    <row r="23" spans="1:27" ht="13.8">
      <c r="A23" s="179"/>
      <c r="B23" s="814" t="s">
        <v>44</v>
      </c>
      <c r="C23" s="179"/>
      <c r="D23" s="179"/>
      <c r="E23" s="179"/>
      <c r="F23" s="179"/>
      <c r="G23" s="179"/>
      <c r="H23" s="937"/>
      <c r="I23" s="826"/>
      <c r="J23" s="826"/>
      <c r="K23" s="420" t="s">
        <v>1203</v>
      </c>
      <c r="L23" s="179"/>
      <c r="M23" s="179"/>
      <c r="N23" s="179"/>
      <c r="Q23" s="815">
        <f>-SUM('2.Fiscal'!F124:H124,'2.Fiscal'!F127:H127,'2.Fiscal'!F130:H130,'2.Fiscal'!F133:H133)</f>
        <v>0</v>
      </c>
      <c r="R23" s="816">
        <f>-SUM('2.Fiscal'!L124,'2.Fiscal'!L127,'2.Fiscal'!L130,'2.Fiscal'!L133)</f>
        <v>0</v>
      </c>
      <c r="S23" s="816">
        <f>-SUM('2.Fiscal'!N124,'2.Fiscal'!N127,'2.Fiscal'!N130,'2.Fiscal'!N133)</f>
        <v>0</v>
      </c>
    </row>
    <row r="24" spans="1:27" ht="13.8">
      <c r="A24" s="179">
        <f>'2.Fiscal'!D36</f>
        <v>5170</v>
      </c>
      <c r="B24" s="179" t="s">
        <v>1118</v>
      </c>
      <c r="C24" s="179"/>
      <c r="D24" s="179"/>
      <c r="E24" s="815">
        <f>SUM('2.Fiscal'!F36:H36)</f>
        <v>0</v>
      </c>
      <c r="F24" s="815">
        <f>'2.Fiscal'!L36</f>
        <v>0</v>
      </c>
      <c r="G24" s="815">
        <f>'2.Fiscal'!N36</f>
        <v>0</v>
      </c>
      <c r="H24" s="946"/>
      <c r="I24" s="872"/>
      <c r="J24" s="872"/>
      <c r="K24" s="420" t="s">
        <v>1204</v>
      </c>
      <c r="L24" s="179"/>
      <c r="M24" s="179"/>
      <c r="N24" s="179"/>
      <c r="Q24" s="815">
        <f>-SUM('2.Fiscal'!F125:H125,'2.Fiscal'!F128:H128,'2.Fiscal'!F131:H131,'2.Fiscal'!F134:H134)</f>
        <v>0</v>
      </c>
      <c r="R24" s="816">
        <f>-SUM('2.Fiscal'!L125,'2.Fiscal'!L128,'2.Fiscal'!L131,'2.Fiscal'!L134)</f>
        <v>0</v>
      </c>
      <c r="S24" s="816">
        <f>-SUM('2.Fiscal'!N125,'2.Fiscal'!N128,'2.Fiscal'!N131,'2.Fiscal'!N134)</f>
        <v>0</v>
      </c>
    </row>
    <row r="25" spans="1:27" ht="13.8">
      <c r="A25" s="179">
        <f>'2.Fiscal'!D37</f>
        <v>5190</v>
      </c>
      <c r="B25" s="179" t="s">
        <v>1119</v>
      </c>
      <c r="C25" s="179"/>
      <c r="D25" s="179"/>
      <c r="E25" s="815">
        <f>SUM('2.Fiscal'!F37:H37)</f>
        <v>0</v>
      </c>
      <c r="F25" s="816">
        <f>'2.Fiscal'!L37</f>
        <v>0</v>
      </c>
      <c r="G25" s="816">
        <f>'2.Fiscal'!N37</f>
        <v>0</v>
      </c>
      <c r="H25" s="948"/>
      <c r="I25" s="933"/>
      <c r="J25" s="933"/>
      <c r="K25" s="420" t="s">
        <v>1140</v>
      </c>
      <c r="L25" s="179"/>
      <c r="M25" s="179"/>
      <c r="N25" s="179"/>
      <c r="Q25" s="815">
        <f>-'2.Fiscal'!J109</f>
        <v>0</v>
      </c>
      <c r="R25" s="816">
        <f>-'2.Fiscal'!L109</f>
        <v>0</v>
      </c>
      <c r="S25" s="816">
        <f>-'2.Fiscal'!N109</f>
        <v>0</v>
      </c>
    </row>
    <row r="26" spans="1:27" ht="13.8">
      <c r="A26" s="179">
        <f>'2.Fiscal'!D38</f>
        <v>5300</v>
      </c>
      <c r="B26" s="179" t="s">
        <v>1122</v>
      </c>
      <c r="C26" s="179"/>
      <c r="D26" s="179"/>
      <c r="E26" s="815">
        <f>'2.Fiscal'!F38</f>
        <v>0</v>
      </c>
      <c r="F26" s="816">
        <f>'2.Fiscal'!L38</f>
        <v>0</v>
      </c>
      <c r="G26" s="816">
        <f>'2.Fiscal'!N38</f>
        <v>0</v>
      </c>
      <c r="H26" s="948"/>
      <c r="I26" s="933"/>
      <c r="J26" s="933"/>
      <c r="K26" s="420" t="s">
        <v>1142</v>
      </c>
      <c r="L26" s="179"/>
      <c r="M26" s="179"/>
      <c r="N26" s="179"/>
      <c r="Q26" s="815">
        <f>-'2.Fiscal'!J110</f>
        <v>0</v>
      </c>
      <c r="R26" s="816">
        <f>-'2.Fiscal'!L110</f>
        <v>0</v>
      </c>
      <c r="S26" s="816">
        <f>-'2.Fiscal'!N110</f>
        <v>0</v>
      </c>
    </row>
    <row r="27" spans="1:27" ht="13.8">
      <c r="A27" s="179">
        <f>IF('2.Fiscal'!D40="","",'2.Fiscal'!D40)</f>
        <v>5400</v>
      </c>
      <c r="B27" s="179" t="s">
        <v>1342</v>
      </c>
      <c r="C27" s="179"/>
      <c r="D27" s="179"/>
      <c r="E27" s="815">
        <f>SUM('2.Fiscal'!F40:H40)</f>
        <v>0</v>
      </c>
      <c r="F27" s="816">
        <f>'2.Fiscal'!L40</f>
        <v>0</v>
      </c>
      <c r="G27" s="816">
        <f>'2.Fiscal'!N40</f>
        <v>0</v>
      </c>
      <c r="H27" s="948"/>
      <c r="I27" s="933"/>
      <c r="J27" s="933"/>
      <c r="K27" s="420" t="s">
        <v>1141</v>
      </c>
      <c r="L27" s="179"/>
      <c r="M27" s="179"/>
      <c r="N27" s="179"/>
      <c r="Q27" s="815">
        <f>-'2.Fiscal'!J112</f>
        <v>0</v>
      </c>
      <c r="R27" s="816">
        <f>-'2.Fiscal'!L112</f>
        <v>0</v>
      </c>
      <c r="S27" s="816">
        <f>-'2.Fiscal'!N112</f>
        <v>0</v>
      </c>
    </row>
    <row r="28" spans="1:27" ht="13.8">
      <c r="A28" s="179">
        <v>5400</v>
      </c>
      <c r="B28" s="179" t="s">
        <v>1343</v>
      </c>
      <c r="C28" s="179"/>
      <c r="D28" s="179"/>
      <c r="E28" s="1764"/>
      <c r="F28" s="908"/>
      <c r="G28" s="816">
        <f t="shared" ref="G28" si="3">E28-F28</f>
        <v>0</v>
      </c>
      <c r="H28" s="948"/>
      <c r="I28" s="941">
        <f>IF(E28&lt;&gt;"",1,0)</f>
        <v>0</v>
      </c>
      <c r="J28" s="933"/>
      <c r="K28" s="420" t="s">
        <v>1143</v>
      </c>
      <c r="L28" s="179"/>
      <c r="M28" s="179"/>
      <c r="N28" s="179"/>
      <c r="Q28" s="815">
        <f>'2.Fiscal'!J111</f>
        <v>0</v>
      </c>
      <c r="R28" s="816">
        <f>'2.Fiscal'!L111</f>
        <v>0</v>
      </c>
      <c r="S28" s="816">
        <f>'2.Fiscal'!N111</f>
        <v>0</v>
      </c>
    </row>
    <row r="29" spans="1:27" ht="13.8">
      <c r="A29" s="179">
        <f>'2.Fiscal'!D41</f>
        <v>5910</v>
      </c>
      <c r="B29" s="179" t="s">
        <v>1123</v>
      </c>
      <c r="C29" s="179"/>
      <c r="D29" s="179"/>
      <c r="E29" s="815">
        <f>SUM('2.Fiscal'!F41:H41)</f>
        <v>0</v>
      </c>
      <c r="F29" s="816">
        <f>'2.Fiscal'!L41</f>
        <v>0</v>
      </c>
      <c r="G29" s="816">
        <f>'2.Fiscal'!N41</f>
        <v>0</v>
      </c>
      <c r="H29" s="948"/>
      <c r="I29" s="933"/>
      <c r="J29" s="933"/>
      <c r="K29" s="420" t="s">
        <v>1144</v>
      </c>
      <c r="L29" s="179"/>
      <c r="M29" s="179"/>
      <c r="N29" s="179"/>
      <c r="Q29" s="817">
        <f>'2.Fiscal'!J113</f>
        <v>0</v>
      </c>
      <c r="R29" s="816">
        <f>'2.Fiscal'!L113</f>
        <v>0</v>
      </c>
      <c r="S29" s="816">
        <f>'2.Fiscal'!N113</f>
        <v>0</v>
      </c>
    </row>
    <row r="30" spans="1:27" ht="13.8">
      <c r="A30" s="179">
        <f>'2.Fiscal'!D42</f>
        <v>5920</v>
      </c>
      <c r="B30" s="179" t="s">
        <v>163</v>
      </c>
      <c r="C30" s="179"/>
      <c r="D30" s="179"/>
      <c r="E30" s="815">
        <f>SUM('2.Fiscal'!F42:H42)</f>
        <v>0</v>
      </c>
      <c r="F30" s="816">
        <f>'2.Fiscal'!L42</f>
        <v>0</v>
      </c>
      <c r="G30" s="816">
        <f>'2.Fiscal'!N42</f>
        <v>0</v>
      </c>
      <c r="H30" s="948"/>
      <c r="I30" s="933"/>
      <c r="J30" s="933"/>
      <c r="K30" s="179"/>
      <c r="L30" s="179"/>
      <c r="M30" s="179"/>
      <c r="N30" s="179"/>
      <c r="P30" s="807" t="s">
        <v>1145</v>
      </c>
      <c r="Q30" s="817">
        <f>SUM(Q20:Q29)</f>
        <v>0</v>
      </c>
      <c r="R30" s="817">
        <f>SUM(R20:R29)</f>
        <v>0</v>
      </c>
      <c r="S30" s="817">
        <f>SUM(S20:S29)</f>
        <v>0</v>
      </c>
    </row>
    <row r="31" spans="1:27" ht="13.8">
      <c r="A31" s="179">
        <f>'2.Fiscal'!D43</f>
        <v>5990</v>
      </c>
      <c r="B31" s="179" t="s">
        <v>1124</v>
      </c>
      <c r="C31" s="179"/>
      <c r="D31" s="179"/>
      <c r="E31" s="817">
        <f>SUM('2.Fiscal'!F43:H43)</f>
        <v>0</v>
      </c>
      <c r="F31" s="816">
        <f>'2.Fiscal'!L43</f>
        <v>0</v>
      </c>
      <c r="G31" s="816">
        <f>'2.Fiscal'!N43</f>
        <v>0</v>
      </c>
      <c r="H31" s="950"/>
      <c r="I31" s="935"/>
      <c r="J31" s="935"/>
      <c r="K31" s="179"/>
      <c r="L31" s="179"/>
      <c r="M31" s="179"/>
      <c r="N31" s="179"/>
      <c r="P31" s="807"/>
      <c r="Q31" s="817"/>
      <c r="R31" s="817"/>
      <c r="S31" s="817"/>
    </row>
    <row r="32" spans="1:27" ht="13.8">
      <c r="A32" s="179"/>
      <c r="B32" s="179"/>
      <c r="C32" s="179"/>
      <c r="D32" s="813" t="s">
        <v>1117</v>
      </c>
      <c r="E32" s="820">
        <f>SUM(E24:E31)</f>
        <v>0</v>
      </c>
      <c r="F32" s="820">
        <f>SUM(F24:F31)</f>
        <v>0</v>
      </c>
      <c r="G32" s="820">
        <f>SUM(G24:G31)</f>
        <v>0</v>
      </c>
      <c r="H32" s="950"/>
      <c r="I32" s="935"/>
      <c r="J32" s="935"/>
      <c r="K32" s="179" t="s">
        <v>1212</v>
      </c>
      <c r="L32" s="179"/>
      <c r="M32" s="179"/>
      <c r="N32" s="179"/>
      <c r="P32" s="807"/>
      <c r="Q32" s="906"/>
      <c r="R32" s="817">
        <f>'2.Fiscal'!$L$139</f>
        <v>0</v>
      </c>
      <c r="S32" s="817">
        <f>'2.Fiscal'!$N$139</f>
        <v>0</v>
      </c>
    </row>
    <row r="33" spans="1:19" ht="13.8">
      <c r="A33" s="179"/>
      <c r="B33" s="179"/>
      <c r="C33" s="179"/>
      <c r="D33" s="813" t="s">
        <v>1197</v>
      </c>
      <c r="E33" s="820">
        <f>E21+E32</f>
        <v>0</v>
      </c>
      <c r="F33" s="820">
        <f>F21+F32</f>
        <v>0</v>
      </c>
      <c r="G33" s="820">
        <f>G21+G32</f>
        <v>0</v>
      </c>
      <c r="H33" s="951"/>
      <c r="I33" s="936"/>
      <c r="J33" s="936"/>
      <c r="K33" s="179"/>
      <c r="L33" s="179"/>
      <c r="M33" s="179"/>
      <c r="N33" s="179"/>
      <c r="P33" s="819" t="s">
        <v>1146</v>
      </c>
      <c r="Q33" s="820">
        <f>Q17+Q30+Q32</f>
        <v>0</v>
      </c>
      <c r="R33" s="820">
        <f>R17+R30+R32</f>
        <v>0</v>
      </c>
      <c r="S33" s="820">
        <f>S17+S30+S32</f>
        <v>0</v>
      </c>
    </row>
    <row r="34" spans="1:19" ht="13.8">
      <c r="A34" s="179"/>
      <c r="B34" s="179"/>
      <c r="C34" s="179"/>
      <c r="D34" s="795"/>
      <c r="E34" s="818"/>
      <c r="F34" s="818"/>
      <c r="G34" s="818"/>
      <c r="H34" s="937"/>
      <c r="I34" s="826"/>
      <c r="J34" s="826"/>
      <c r="K34" s="179"/>
      <c r="L34" s="179"/>
      <c r="M34" s="179"/>
      <c r="N34" s="179"/>
    </row>
    <row r="35" spans="1:19" ht="13.8">
      <c r="A35" s="179"/>
      <c r="B35" s="179"/>
      <c r="C35" s="179"/>
      <c r="D35" s="179"/>
      <c r="E35" s="179"/>
      <c r="F35" s="179"/>
      <c r="G35" s="179"/>
      <c r="H35" s="947"/>
      <c r="I35" s="931"/>
      <c r="J35" s="931"/>
      <c r="K35" s="814" t="s">
        <v>1171</v>
      </c>
      <c r="L35" s="179"/>
      <c r="M35" s="179"/>
      <c r="N35" s="179"/>
    </row>
    <row r="36" spans="1:19" ht="13.8">
      <c r="A36" s="179" t="s">
        <v>184</v>
      </c>
      <c r="B36" s="179"/>
      <c r="C36" s="179"/>
      <c r="D36" s="179"/>
      <c r="E36" s="813" t="str">
        <f>' 1A.Prop&amp;Residents'!$S$9</f>
        <v/>
      </c>
      <c r="F36" s="813"/>
      <c r="G36" s="813"/>
      <c r="H36" s="947"/>
      <c r="I36" s="931"/>
      <c r="J36" s="931"/>
      <c r="K36" s="827" t="s">
        <v>1200</v>
      </c>
    </row>
    <row r="37" spans="1:19" ht="13.8">
      <c r="A37" s="179"/>
      <c r="B37" s="179"/>
      <c r="C37" s="179"/>
      <c r="D37" s="179"/>
      <c r="E37" s="813"/>
      <c r="F37" s="813"/>
      <c r="G37" s="813"/>
      <c r="H37" s="937"/>
      <c r="I37" s="937"/>
      <c r="J37" s="937"/>
      <c r="K37" s="827" t="s">
        <v>1177</v>
      </c>
      <c r="R37" s="815"/>
      <c r="S37" s="815"/>
    </row>
    <row r="38" spans="1:19" ht="13.8">
      <c r="A38" s="812" t="s">
        <v>1125</v>
      </c>
      <c r="B38" s="808"/>
      <c r="C38" s="808"/>
      <c r="D38" s="808"/>
      <c r="E38" s="808"/>
      <c r="F38" s="808"/>
      <c r="G38" s="808"/>
      <c r="H38" s="937"/>
      <c r="I38" s="937"/>
      <c r="J38" s="937"/>
      <c r="K38" s="827"/>
      <c r="Q38" s="823" t="s">
        <v>151</v>
      </c>
      <c r="R38" s="823" t="s">
        <v>59</v>
      </c>
      <c r="S38" s="823" t="s">
        <v>1201</v>
      </c>
    </row>
    <row r="39" spans="1:19" ht="13.8">
      <c r="A39" s="812" t="str">
        <f>"For the Year Ended "&amp;TEXT(' 1A.Prop&amp;Residents'!$G$13,"mmmm")&amp;" "&amp;DAY(' 1A.Prop&amp;Residents'!$G$13)&amp;", "&amp;YEAR(' 1A.Prop&amp;Residents'!$G$13)</f>
        <v>For the Year Ended January 0, 1900</v>
      </c>
      <c r="B39" s="808"/>
      <c r="C39" s="808"/>
      <c r="D39" s="808"/>
      <c r="E39" s="808"/>
      <c r="F39" s="808"/>
      <c r="G39" s="808"/>
      <c r="H39" s="937"/>
      <c r="I39" s="937"/>
      <c r="J39" s="937"/>
      <c r="K39" s="900"/>
      <c r="L39" t="str">
        <f>IF(K39="","",IFERROR(VLOOKUP($K39,'2.Fiscal'!$X$144:$AB$165,5,FALSE),"Check distribution priority on Worksheet 2"))</f>
        <v/>
      </c>
      <c r="M39" s="179"/>
      <c r="N39" s="179"/>
      <c r="Q39" s="815" t="str">
        <f>IF($K39="","",IFERROR(-VLOOKUP($K39,'2.Fiscal'!$X$144:$AB$165,2,FALSE),""))</f>
        <v/>
      </c>
      <c r="R39" s="815" t="str">
        <f>IF($K39="","",IFERROR(-VLOOKUP($K39,'2.Fiscal'!$X$144:$AB$165,3,FALSE),""))</f>
        <v/>
      </c>
      <c r="S39" s="815" t="str">
        <f>IF($K39="","",IFERROR(-VLOOKUP($K39,'2.Fiscal'!$X$144:$AB$165,4,FALSE),""))</f>
        <v/>
      </c>
    </row>
    <row r="40" spans="1:19" ht="13.8">
      <c r="A40" s="179"/>
      <c r="B40" s="179"/>
      <c r="C40" s="179"/>
      <c r="D40" s="179"/>
      <c r="E40" s="179"/>
      <c r="F40" s="179"/>
      <c r="G40" s="179"/>
      <c r="H40" s="938"/>
      <c r="I40" s="938"/>
      <c r="J40" s="938"/>
      <c r="K40" s="900"/>
      <c r="L40" t="str">
        <f>IF(K40="","",IFERROR(VLOOKUP($K40,'2.Fiscal'!$X$144:$AB$165,5,FALSE),"Check distribution priority on Worksheet 2"))</f>
        <v/>
      </c>
      <c r="M40" s="179"/>
      <c r="N40" s="179"/>
      <c r="Q40" s="816" t="str">
        <f>IF($K40="","",IFERROR(-VLOOKUP($K40,'2.Fiscal'!$X$144:$AB$165,2,FALSE),""))</f>
        <v/>
      </c>
      <c r="R40" s="816" t="str">
        <f>IF($K40="","",IFERROR(-VLOOKUP($K40,'2.Fiscal'!$X$144:$AB$165,3,FALSE),""))</f>
        <v/>
      </c>
      <c r="S40" s="816" t="str">
        <f>IF($K40="","",IFERROR(-VLOOKUP($K40,'2.Fiscal'!$X$144:$AB$165,4,FALSE),""))</f>
        <v/>
      </c>
    </row>
    <row r="41" spans="1:19" ht="13.8">
      <c r="A41" s="179"/>
      <c r="B41" s="179"/>
      <c r="C41" s="179"/>
      <c r="D41" s="179"/>
      <c r="E41" s="894" t="str">
        <f>IF(' 1A.Prop&amp;Residents'!$G$13&lt;&gt;"",YEAR(' 1A.Prop&amp;Residents'!$G$13),"")</f>
        <v/>
      </c>
      <c r="F41" s="894"/>
      <c r="G41" s="894"/>
      <c r="H41" s="947"/>
      <c r="I41" s="932"/>
      <c r="J41" s="932"/>
      <c r="K41" s="900"/>
      <c r="L41" t="str">
        <f>IF(K41="","",IFERROR(VLOOKUP($K41,'2.Fiscal'!$X$144:$AB$165,5,FALSE),"Check distribution priority on Worksheet 2"))</f>
        <v/>
      </c>
      <c r="M41" s="179"/>
      <c r="N41" s="179"/>
      <c r="Q41" s="816" t="str">
        <f>IF($K41="","",IFERROR(-VLOOKUP($K41,'2.Fiscal'!$X$144:$AB$165,2,FALSE),""))</f>
        <v/>
      </c>
      <c r="R41" s="816" t="str">
        <f>IF($K41="","",IFERROR(-VLOOKUP($K41,'2.Fiscal'!$X$144:$AB$165,3,FALSE),""))</f>
        <v/>
      </c>
      <c r="S41" s="816" t="str">
        <f>IF($K41="","",IFERROR(-VLOOKUP($K41,'2.Fiscal'!$X$144:$AB$165,4,FALSE),""))</f>
        <v/>
      </c>
    </row>
    <row r="42" spans="1:19" ht="13.8">
      <c r="A42" s="179"/>
      <c r="B42" s="814" t="s">
        <v>477</v>
      </c>
      <c r="C42" s="179"/>
      <c r="D42" s="179"/>
      <c r="E42" s="823" t="s">
        <v>151</v>
      </c>
      <c r="F42" s="823" t="s">
        <v>59</v>
      </c>
      <c r="G42" s="823" t="s">
        <v>1201</v>
      </c>
      <c r="H42" s="946"/>
      <c r="I42" s="872"/>
      <c r="J42" s="872"/>
      <c r="K42" s="900"/>
      <c r="L42" t="str">
        <f>IF(K42="","",IFERROR(VLOOKUP($K42,'2.Fiscal'!$X$144:$AB$165,5,FALSE),"Check distribution priority on Worksheet 2"))</f>
        <v/>
      </c>
      <c r="M42" s="179"/>
      <c r="N42" s="179"/>
      <c r="Q42" s="816" t="str">
        <f>IF($K42="","",IFERROR(-VLOOKUP($K42,'2.Fiscal'!$X$144:$AB$165,2,FALSE),""))</f>
        <v/>
      </c>
      <c r="R42" s="816" t="str">
        <f>IF($K42="","",IFERROR(-VLOOKUP($K42,'2.Fiscal'!$X$144:$AB$165,3,FALSE),""))</f>
        <v/>
      </c>
      <c r="S42" s="816" t="str">
        <f>IF($K42="","",IFERROR(-VLOOKUP($K42,'2.Fiscal'!$X$144:$AB$165,4,FALSE),""))</f>
        <v/>
      </c>
    </row>
    <row r="43" spans="1:19" ht="13.8">
      <c r="A43" s="179">
        <v>6320</v>
      </c>
      <c r="B43" s="179" t="s">
        <v>197</v>
      </c>
      <c r="C43" s="179"/>
      <c r="D43" s="179"/>
      <c r="E43" s="815">
        <f>SUM('2.Fiscal'!F52:H52)</f>
        <v>0</v>
      </c>
      <c r="F43" s="815">
        <f>'2.Fiscal'!L52</f>
        <v>0</v>
      </c>
      <c r="G43" s="815">
        <f>'2.Fiscal'!N52</f>
        <v>0</v>
      </c>
      <c r="H43" s="948"/>
      <c r="I43" s="933"/>
      <c r="J43" s="933"/>
      <c r="K43" s="900"/>
      <c r="L43" t="str">
        <f>IF(K43="","",IFERROR(VLOOKUP($K43,'2.Fiscal'!$X$144:$AB$165,5,FALSE),"Check distribution priority on Worksheet 2"))</f>
        <v/>
      </c>
      <c r="M43" s="179"/>
      <c r="N43" s="179"/>
      <c r="Q43" s="816" t="str">
        <f>IF($K43="","",IFERROR(-VLOOKUP($K43,'2.Fiscal'!$X$144:$AB$165,2,FALSE),""))</f>
        <v/>
      </c>
      <c r="R43" s="816" t="str">
        <f>IF($K43="","",IFERROR(-VLOOKUP($K43,'2.Fiscal'!$X$144:$AB$165,3,FALSE),""))</f>
        <v/>
      </c>
      <c r="S43" s="816" t="str">
        <f>IF($K43="","",IFERROR(-VLOOKUP($K43,'2.Fiscal'!$X$144:$AB$165,4,FALSE),""))</f>
        <v/>
      </c>
    </row>
    <row r="44" spans="1:19" ht="13.8">
      <c r="A44" s="179"/>
      <c r="B44" s="179" t="s">
        <v>1129</v>
      </c>
      <c r="C44" s="179"/>
      <c r="D44" s="179"/>
      <c r="E44" s="817">
        <f>SUM('2.Fiscal'!F53:H53)</f>
        <v>0</v>
      </c>
      <c r="F44" s="816">
        <f>'2.Fiscal'!L53</f>
        <v>0</v>
      </c>
      <c r="G44" s="816">
        <f>'2.Fiscal'!N53</f>
        <v>0</v>
      </c>
      <c r="H44" s="951"/>
      <c r="I44" s="936"/>
      <c r="J44" s="936"/>
      <c r="K44" s="900"/>
      <c r="L44" t="str">
        <f>IF(K44="","",IFERROR(VLOOKUP($K44,'2.Fiscal'!$X$144:$AB$165,5,FALSE),"Check distribution priority on Worksheet 2"))</f>
        <v/>
      </c>
      <c r="M44" s="179"/>
      <c r="N44" s="179"/>
      <c r="Q44" s="816" t="str">
        <f>IF($K44="","",IFERROR(-VLOOKUP($K44,'2.Fiscal'!$X$144:$AB$165,2,FALSE),""))</f>
        <v/>
      </c>
      <c r="R44" s="816" t="str">
        <f>IF($K44="","",IFERROR(-VLOOKUP($K44,'2.Fiscal'!$X$144:$AB$165,3,FALSE),""))</f>
        <v/>
      </c>
      <c r="S44" s="816" t="str">
        <f>IF($K44="","",IFERROR(-VLOOKUP($K44,'2.Fiscal'!$X$144:$AB$165,4,FALSE),""))</f>
        <v/>
      </c>
    </row>
    <row r="45" spans="1:19" ht="13.8">
      <c r="A45" s="179"/>
      <c r="B45" s="179"/>
      <c r="C45" s="179"/>
      <c r="D45" s="795" t="s">
        <v>1130</v>
      </c>
      <c r="E45" s="817">
        <f>SUM(E43:E44)</f>
        <v>0</v>
      </c>
      <c r="F45" s="817">
        <f t="shared" ref="F45:G45" si="4">SUM(F43:F44)</f>
        <v>0</v>
      </c>
      <c r="G45" s="817">
        <f t="shared" si="4"/>
        <v>0</v>
      </c>
      <c r="H45" s="937"/>
      <c r="I45" s="826"/>
      <c r="J45" s="826"/>
      <c r="K45" s="900"/>
      <c r="L45" t="str">
        <f>IF(K45="","",IFERROR(VLOOKUP($K45,'2.Fiscal'!$X$144:$AB$165,5,FALSE),"Check distribution priority on Worksheet 2"))</f>
        <v/>
      </c>
      <c r="M45" s="179"/>
      <c r="N45" s="179"/>
      <c r="Q45" s="816" t="str">
        <f>IF($K45="","",IFERROR(-VLOOKUP($K45,'2.Fiscal'!$X$144:$AB$165,2,FALSE),""))</f>
        <v/>
      </c>
      <c r="R45" s="816" t="str">
        <f>IF($K45="","",IFERROR(-VLOOKUP($K45,'2.Fiscal'!$X$144:$AB$165,3,FALSE),""))</f>
        <v/>
      </c>
      <c r="S45" s="816" t="str">
        <f>IF($K45="","",IFERROR(-VLOOKUP($K45,'2.Fiscal'!$X$144:$AB$165,4,FALSE),""))</f>
        <v/>
      </c>
    </row>
    <row r="46" spans="1:19" ht="13.8">
      <c r="A46" s="179"/>
      <c r="B46" s="179"/>
      <c r="C46" s="179"/>
      <c r="D46" s="179"/>
      <c r="E46" s="179"/>
      <c r="F46" s="179"/>
      <c r="G46" s="179"/>
      <c r="H46" s="937"/>
      <c r="I46" s="826"/>
      <c r="J46" s="826"/>
      <c r="K46" s="900"/>
      <c r="L46" t="str">
        <f>IF(K46="","",IFERROR(VLOOKUP($K46,'2.Fiscal'!$X$144:$AB$165,5,FALSE),"Check distribution priority on Worksheet 2"))</f>
        <v/>
      </c>
      <c r="M46" s="179"/>
      <c r="N46" s="179"/>
      <c r="Q46" s="816" t="str">
        <f>IF($K46="","",IFERROR(-VLOOKUP($K46,'2.Fiscal'!$X$144:$AB$165,2,FALSE),""))</f>
        <v/>
      </c>
      <c r="R46" s="816" t="str">
        <f>IF($K46="","",IFERROR(-VLOOKUP($K46,'2.Fiscal'!$X$144:$AB$165,3,FALSE),""))</f>
        <v/>
      </c>
      <c r="S46" s="816" t="str">
        <f>IF($K46="","",IFERROR(-VLOOKUP($K46,'2.Fiscal'!$X$144:$AB$165,4,FALSE),""))</f>
        <v/>
      </c>
    </row>
    <row r="47" spans="1:19" ht="13.8">
      <c r="A47" s="179"/>
      <c r="B47" s="814" t="s">
        <v>200</v>
      </c>
      <c r="C47" s="179"/>
      <c r="D47" s="179"/>
      <c r="E47" s="179"/>
      <c r="F47" s="179"/>
      <c r="G47" s="179"/>
      <c r="H47" s="946"/>
      <c r="I47" s="872"/>
      <c r="J47" s="872"/>
      <c r="K47" s="900"/>
      <c r="L47" t="str">
        <f>IF(K47="","",IFERROR(VLOOKUP($K47,'2.Fiscal'!$X$144:$AB$165,5,FALSE),"Check distribution priority on Worksheet 2"))</f>
        <v/>
      </c>
      <c r="M47" s="179"/>
      <c r="N47" s="179"/>
      <c r="Q47" s="816" t="str">
        <f>IF($K47="","",IFERROR(-VLOOKUP($K47,'2.Fiscal'!$X$144:$AB$165,2,FALSE),""))</f>
        <v/>
      </c>
      <c r="R47" s="816" t="str">
        <f>IF($K47="","",IFERROR(-VLOOKUP($K47,'2.Fiscal'!$X$144:$AB$165,3,FALSE),""))</f>
        <v/>
      </c>
      <c r="S47" s="816" t="str">
        <f>IF($K47="","",IFERROR(-VLOOKUP($K47,'2.Fiscal'!$X$144:$AB$165,4,FALSE),""))</f>
        <v/>
      </c>
    </row>
    <row r="48" spans="1:19" ht="13.8">
      <c r="A48" s="179">
        <v>6310</v>
      </c>
      <c r="B48" s="179" t="s">
        <v>201</v>
      </c>
      <c r="C48" s="179"/>
      <c r="D48" s="179"/>
      <c r="E48" s="815">
        <f>SUM('2.Fiscal'!F56:H56)</f>
        <v>0</v>
      </c>
      <c r="F48" s="815">
        <f>'2.Fiscal'!L56</f>
        <v>0</v>
      </c>
      <c r="G48" s="815">
        <f>'2.Fiscal'!N56</f>
        <v>0</v>
      </c>
      <c r="H48" s="948"/>
      <c r="I48" s="933"/>
      <c r="J48" s="933"/>
      <c r="K48" s="900"/>
      <c r="L48" t="str">
        <f>IF(K48="","",IFERROR(VLOOKUP($K48,'2.Fiscal'!$X$144:$AB$165,5,FALSE),"Check distribution priority on Worksheet 2"))</f>
        <v/>
      </c>
      <c r="M48" s="179"/>
      <c r="N48" s="179"/>
      <c r="Q48" s="816" t="str">
        <f>IF($K48="","",IFERROR(-VLOOKUP($K48,'2.Fiscal'!$X$144:$AB$165,2,FALSE),""))</f>
        <v/>
      </c>
      <c r="R48" s="816" t="str">
        <f>IF($K48="","",IFERROR(-VLOOKUP($K48,'2.Fiscal'!$X$144:$AB$165,3,FALSE),""))</f>
        <v/>
      </c>
      <c r="S48" s="816" t="str">
        <f>IF($K48="","",IFERROR(-VLOOKUP($K48,'2.Fiscal'!$X$144:$AB$165,4,FALSE),""))</f>
        <v/>
      </c>
    </row>
    <row r="49" spans="1:19" ht="13.8">
      <c r="A49" s="179">
        <v>6330</v>
      </c>
      <c r="B49" s="179" t="s">
        <v>202</v>
      </c>
      <c r="C49" s="179"/>
      <c r="D49" s="179"/>
      <c r="E49" s="815">
        <f>SUM('2.Fiscal'!F57:H57)</f>
        <v>0</v>
      </c>
      <c r="F49" s="816">
        <f>'2.Fiscal'!L57</f>
        <v>0</v>
      </c>
      <c r="G49" s="816">
        <f>'2.Fiscal'!N57</f>
        <v>0</v>
      </c>
      <c r="H49" s="948"/>
      <c r="I49" s="933"/>
      <c r="J49" s="933"/>
      <c r="P49" s="819" t="s">
        <v>1173</v>
      </c>
      <c r="Q49" s="820">
        <f>Q33+SUM(Q39:Q48)</f>
        <v>0</v>
      </c>
      <c r="R49" s="820">
        <f>R33+SUM(R39:R48)</f>
        <v>0</v>
      </c>
      <c r="S49" s="820">
        <f>S33+SUM(S39:S48)</f>
        <v>0</v>
      </c>
    </row>
    <row r="50" spans="1:19" ht="13.8">
      <c r="A50" s="179">
        <v>6723</v>
      </c>
      <c r="B50" s="179" t="s">
        <v>446</v>
      </c>
      <c r="C50" s="179"/>
      <c r="D50" s="179"/>
      <c r="E50" s="815">
        <f>SUM('2.Fiscal'!F58:H58)</f>
        <v>0</v>
      </c>
      <c r="F50" s="816">
        <f>'2.Fiscal'!L58</f>
        <v>0</v>
      </c>
      <c r="G50" s="816">
        <f>'2.Fiscal'!N58</f>
        <v>0</v>
      </c>
      <c r="H50" s="948"/>
      <c r="I50" s="933"/>
      <c r="J50" s="933"/>
      <c r="R50" s="829"/>
    </row>
    <row r="51" spans="1:19" ht="13.8">
      <c r="A51" s="179"/>
      <c r="B51" s="179" t="s">
        <v>447</v>
      </c>
      <c r="C51" s="179"/>
      <c r="D51" s="179"/>
      <c r="E51" s="815">
        <f>SUM('2.Fiscal'!F59:H59)</f>
        <v>0</v>
      </c>
      <c r="F51" s="816">
        <f>'2.Fiscal'!L59</f>
        <v>0</v>
      </c>
      <c r="G51" s="816">
        <f>'2.Fiscal'!N59</f>
        <v>0</v>
      </c>
      <c r="H51" s="949"/>
      <c r="I51" s="934"/>
      <c r="J51" s="934"/>
      <c r="K51" s="714" t="s">
        <v>1172</v>
      </c>
    </row>
    <row r="52" spans="1:19" ht="13.8">
      <c r="A52" s="179">
        <v>6331</v>
      </c>
      <c r="B52" s="179" t="s">
        <v>198</v>
      </c>
      <c r="C52" s="179"/>
      <c r="D52" s="179"/>
      <c r="E52" s="817">
        <f>SUM('2.Fiscal'!F60:H60)</f>
        <v>0</v>
      </c>
      <c r="F52" s="896">
        <f>'2.Fiscal'!L60</f>
        <v>0</v>
      </c>
      <c r="G52" s="896">
        <f>'2.Fiscal'!N60</f>
        <v>0</v>
      </c>
      <c r="H52" s="951"/>
      <c r="I52" s="936"/>
      <c r="J52" s="936"/>
      <c r="K52" s="827" t="s">
        <v>1200</v>
      </c>
      <c r="R52" s="815"/>
      <c r="S52" s="815"/>
    </row>
    <row r="53" spans="1:19" ht="13.8">
      <c r="A53" s="179"/>
      <c r="B53" s="179"/>
      <c r="C53" s="179"/>
      <c r="D53" s="795" t="s">
        <v>1131</v>
      </c>
      <c r="E53" s="817">
        <f>SUM(E48:E52)</f>
        <v>0</v>
      </c>
      <c r="F53" s="817">
        <f t="shared" ref="F53:G53" si="5">SUM(F48:F52)</f>
        <v>0</v>
      </c>
      <c r="G53" s="817">
        <f t="shared" si="5"/>
        <v>0</v>
      </c>
      <c r="H53" s="937"/>
      <c r="I53" s="826"/>
      <c r="J53" s="826"/>
      <c r="K53" s="827" t="s">
        <v>1178</v>
      </c>
      <c r="R53" s="816"/>
      <c r="S53" s="816"/>
    </row>
    <row r="54" spans="1:19" ht="13.8">
      <c r="A54" s="179"/>
      <c r="B54" s="179"/>
      <c r="C54" s="179"/>
      <c r="D54" s="179"/>
      <c r="E54" s="179"/>
      <c r="F54" s="179"/>
      <c r="G54" s="179"/>
      <c r="H54" s="937"/>
      <c r="I54" s="826"/>
      <c r="J54" s="826"/>
      <c r="K54" s="827"/>
      <c r="Q54" s="823" t="s">
        <v>151</v>
      </c>
      <c r="R54" s="823" t="s">
        <v>59</v>
      </c>
      <c r="S54" s="823" t="s">
        <v>1201</v>
      </c>
    </row>
    <row r="55" spans="1:19" ht="13.8">
      <c r="A55" s="179"/>
      <c r="B55" s="814" t="s">
        <v>204</v>
      </c>
      <c r="C55" s="179"/>
      <c r="D55" s="179"/>
      <c r="E55" s="179"/>
      <c r="F55" s="179"/>
      <c r="G55" s="179"/>
      <c r="H55" s="946"/>
      <c r="I55" s="872"/>
      <c r="J55" s="872"/>
      <c r="K55" s="900"/>
      <c r="L55" t="str">
        <f>IF(K55="","",IFERROR(VLOOKUP($K55,'2.Fiscal'!$X$144:$AB$165,5,FALSE),"Check distribution priority on Worksheet 2"))</f>
        <v/>
      </c>
      <c r="M55" s="179"/>
      <c r="N55" s="179"/>
      <c r="Q55" s="815" t="str">
        <f>IF($K55="","",IFERROR(VLOOKUP($K55,'2.Fiscal'!$X$144:$AB$165,2,FALSE),""))</f>
        <v/>
      </c>
      <c r="R55" s="815" t="str">
        <f>IF($K55="","",IFERROR(VLOOKUP($K55,'2.Fiscal'!$X$144:$AB$165,3,FALSE),""))</f>
        <v/>
      </c>
      <c r="S55" s="815" t="str">
        <f>IF($K55="","",IFERROR(VLOOKUP($K55,'2.Fiscal'!$X$144:$AB$165,4,FALSE),""))</f>
        <v/>
      </c>
    </row>
    <row r="56" spans="1:19" ht="13.8">
      <c r="A56" s="179">
        <v>6210</v>
      </c>
      <c r="B56" s="179" t="s">
        <v>205</v>
      </c>
      <c r="C56" s="179"/>
      <c r="D56" s="179"/>
      <c r="E56" s="815">
        <f>SUM('2.Fiscal'!F63:H63)</f>
        <v>0</v>
      </c>
      <c r="F56" s="815">
        <f>'2.Fiscal'!L63</f>
        <v>0</v>
      </c>
      <c r="G56" s="815">
        <f>'2.Fiscal'!N63</f>
        <v>0</v>
      </c>
      <c r="H56" s="948"/>
      <c r="I56" s="933"/>
      <c r="J56" s="933"/>
      <c r="K56" s="900"/>
      <c r="L56" t="str">
        <f>IF(K56="","",IFERROR(VLOOKUP($K56,'2.Fiscal'!$X$144:$AB$165,5,FALSE),"Check distribution priority on Worksheet 2"))</f>
        <v/>
      </c>
      <c r="M56" s="179"/>
      <c r="N56" s="179"/>
      <c r="Q56" s="816" t="str">
        <f>IF($K56="","",IFERROR(VLOOKUP($K56,'2.Fiscal'!$X$144:$AB$165,2,FALSE),""))</f>
        <v/>
      </c>
      <c r="R56" s="816" t="str">
        <f>IF($K56="","",IFERROR(VLOOKUP($K56,'2.Fiscal'!$X$144:$AB$165,3,FALSE),""))</f>
        <v/>
      </c>
      <c r="S56" s="816" t="str">
        <f>IF($K56="","",IFERROR(VLOOKUP($K56,'2.Fiscal'!$X$144:$AB$165,4,FALSE),""))</f>
        <v/>
      </c>
    </row>
    <row r="57" spans="1:19" s="179" customFormat="1" ht="13.8">
      <c r="A57" s="179">
        <v>6311</v>
      </c>
      <c r="B57" s="179" t="s">
        <v>206</v>
      </c>
      <c r="E57" s="815">
        <f>SUM('2.Fiscal'!F64:H64)</f>
        <v>0</v>
      </c>
      <c r="F57" s="816">
        <f>'2.Fiscal'!L64</f>
        <v>0</v>
      </c>
      <c r="G57" s="816">
        <f>'2.Fiscal'!N64</f>
        <v>0</v>
      </c>
      <c r="H57" s="948"/>
      <c r="I57" s="933"/>
      <c r="J57" s="933"/>
      <c r="K57" s="900"/>
      <c r="L57" t="str">
        <f>IF(K57="","",IFERROR(VLOOKUP($K57,'2.Fiscal'!$X$144:$AB$165,5,FALSE),"Check distribution priority on Worksheet 2"))</f>
        <v/>
      </c>
      <c r="O57"/>
      <c r="P57"/>
      <c r="Q57" s="816" t="str">
        <f>IF($K57="","",IFERROR(VLOOKUP($K57,'2.Fiscal'!$X$144:$AB$165,2,FALSE),""))</f>
        <v/>
      </c>
      <c r="R57" s="816" t="str">
        <f>IF($K57="","",IFERROR(VLOOKUP($K57,'2.Fiscal'!$X$144:$AB$165,3,FALSE),""))</f>
        <v/>
      </c>
      <c r="S57" s="816" t="str">
        <f>IF($K57="","",IFERROR(VLOOKUP($K57,'2.Fiscal'!$X$144:$AB$165,4,FALSE),""))</f>
        <v/>
      </c>
    </row>
    <row r="58" spans="1:19" s="179" customFormat="1" ht="13.8">
      <c r="A58" s="179">
        <v>6312</v>
      </c>
      <c r="B58" s="179" t="s">
        <v>207</v>
      </c>
      <c r="E58" s="815">
        <f>SUM('2.Fiscal'!F65:H65)</f>
        <v>0</v>
      </c>
      <c r="F58" s="816">
        <f>'2.Fiscal'!L65</f>
        <v>0</v>
      </c>
      <c r="G58" s="816">
        <f>'2.Fiscal'!N65</f>
        <v>0</v>
      </c>
      <c r="H58" s="948"/>
      <c r="I58" s="933"/>
      <c r="J58" s="933"/>
      <c r="K58" s="900"/>
      <c r="L58" t="str">
        <f>IF(K58="","",IFERROR(VLOOKUP($K58,'2.Fiscal'!$X$144:$AB$165,5,FALSE),"Check distribution priority on Worksheet 2"))</f>
        <v/>
      </c>
      <c r="O58"/>
      <c r="P58"/>
      <c r="Q58" s="816" t="str">
        <f>IF($K58="","",IFERROR(VLOOKUP($K58,'2.Fiscal'!$X$144:$AB$165,2,FALSE),""))</f>
        <v/>
      </c>
      <c r="R58" s="816" t="str">
        <f>IF($K58="","",IFERROR(VLOOKUP($K58,'2.Fiscal'!$X$144:$AB$165,3,FALSE),""))</f>
        <v/>
      </c>
      <c r="S58" s="816" t="str">
        <f>IF($K58="","",IFERROR(VLOOKUP($K58,'2.Fiscal'!$X$144:$AB$165,4,FALSE),""))</f>
        <v/>
      </c>
    </row>
    <row r="59" spans="1:19" s="179" customFormat="1" ht="13.8">
      <c r="A59" s="179">
        <v>6340</v>
      </c>
      <c r="B59" s="179" t="s">
        <v>208</v>
      </c>
      <c r="E59" s="815">
        <f>SUM('2.Fiscal'!F66:H66)</f>
        <v>0</v>
      </c>
      <c r="F59" s="816">
        <f>'2.Fiscal'!L66</f>
        <v>0</v>
      </c>
      <c r="G59" s="816">
        <f>'2.Fiscal'!N66</f>
        <v>0</v>
      </c>
      <c r="H59" s="948"/>
      <c r="I59" s="933"/>
      <c r="J59" s="933"/>
      <c r="K59" s="900"/>
      <c r="L59" t="str">
        <f>IF(K59="","",IFERROR(VLOOKUP($K59,'2.Fiscal'!$X$144:$AB$165,5,FALSE),"Check distribution priority on Worksheet 2"))</f>
        <v/>
      </c>
      <c r="O59"/>
      <c r="P59"/>
      <c r="Q59" s="816" t="str">
        <f>IF($K59="","",IFERROR(VLOOKUP($K59,'2.Fiscal'!$X$144:$AB$165,2,FALSE),""))</f>
        <v/>
      </c>
      <c r="R59" s="816" t="str">
        <f>IF($K59="","",IFERROR(VLOOKUP($K59,'2.Fiscal'!$X$144:$AB$165,3,FALSE),""))</f>
        <v/>
      </c>
      <c r="S59" s="816" t="str">
        <f>IF($K59="","",IFERROR(VLOOKUP($K59,'2.Fiscal'!$X$144:$AB$165,4,FALSE),""))</f>
        <v/>
      </c>
    </row>
    <row r="60" spans="1:19" s="179" customFormat="1" ht="13.8">
      <c r="A60" s="179">
        <v>6350</v>
      </c>
      <c r="B60" s="179" t="s">
        <v>209</v>
      </c>
      <c r="E60" s="815">
        <f>SUM('2.Fiscal'!F67:H67)</f>
        <v>0</v>
      </c>
      <c r="F60" s="816">
        <f>'2.Fiscal'!L67</f>
        <v>0</v>
      </c>
      <c r="G60" s="816">
        <f>'2.Fiscal'!N67</f>
        <v>0</v>
      </c>
      <c r="H60" s="948"/>
      <c r="I60" s="933"/>
      <c r="J60" s="933"/>
      <c r="O60"/>
      <c r="P60" s="807" t="s">
        <v>1175</v>
      </c>
      <c r="Q60" s="817">
        <f>SUM(Q55:Q59)</f>
        <v>0</v>
      </c>
      <c r="R60" s="817">
        <f t="shared" ref="R60:S60" si="6">SUM(R55:R59)</f>
        <v>0</v>
      </c>
      <c r="S60" s="817">
        <f t="shared" si="6"/>
        <v>0</v>
      </c>
    </row>
    <row r="61" spans="1:19" s="179" customFormat="1" ht="13.8">
      <c r="A61" s="179">
        <v>6351</v>
      </c>
      <c r="B61" s="179" t="s">
        <v>210</v>
      </c>
      <c r="E61" s="815">
        <f>SUM('2.Fiscal'!F68:H68)</f>
        <v>0</v>
      </c>
      <c r="F61" s="816">
        <f>'2.Fiscal'!L68</f>
        <v>0</v>
      </c>
      <c r="G61" s="816">
        <f>'2.Fiscal'!N68</f>
        <v>0</v>
      </c>
      <c r="H61" s="948"/>
      <c r="I61" s="933"/>
      <c r="J61" s="933"/>
      <c r="K61" s="826"/>
      <c r="L61"/>
      <c r="M61"/>
      <c r="N61"/>
      <c r="O61"/>
      <c r="P61"/>
      <c r="Q61"/>
      <c r="R61" s="19"/>
      <c r="S61" s="19"/>
    </row>
    <row r="62" spans="1:19" s="179" customFormat="1" ht="13.8">
      <c r="A62" s="179">
        <v>6370</v>
      </c>
      <c r="B62" s="179" t="s">
        <v>211</v>
      </c>
      <c r="E62" s="815">
        <f>SUM('2.Fiscal'!F69:H69)</f>
        <v>0</v>
      </c>
      <c r="F62" s="816">
        <f>'2.Fiscal'!L69</f>
        <v>0</v>
      </c>
      <c r="G62" s="816">
        <f>'2.Fiscal'!N69</f>
        <v>0</v>
      </c>
      <c r="H62" s="948"/>
      <c r="I62" s="933"/>
      <c r="J62" s="933"/>
      <c r="K62" s="826"/>
      <c r="L62" s="826" t="s">
        <v>1169</v>
      </c>
      <c r="M62" s="826"/>
      <c r="N62" s="826"/>
      <c r="O62" s="19"/>
      <c r="P62" s="19"/>
      <c r="Q62" s="815">
        <f>'2.Fiscal'!J171</f>
        <v>0</v>
      </c>
      <c r="R62" s="897"/>
      <c r="S62" s="818">
        <f>'2.Fiscal'!N171</f>
        <v>0</v>
      </c>
    </row>
    <row r="63" spans="1:19" s="179" customFormat="1" ht="13.8">
      <c r="A63" s="179">
        <v>6390</v>
      </c>
      <c r="B63" s="179" t="s">
        <v>1155</v>
      </c>
      <c r="E63" s="817">
        <f>SUM('2.Fiscal'!F70:H70)</f>
        <v>0</v>
      </c>
      <c r="F63" s="816">
        <f>'2.Fiscal'!L70</f>
        <v>0</v>
      </c>
      <c r="G63" s="816">
        <f>'2.Fiscal'!N70</f>
        <v>0</v>
      </c>
      <c r="H63" s="951"/>
      <c r="I63" s="936"/>
      <c r="J63" s="936"/>
      <c r="K63" s="826"/>
      <c r="L63" s="826" t="s">
        <v>1170</v>
      </c>
      <c r="M63" s="826"/>
      <c r="N63" s="826"/>
      <c r="O63" s="19"/>
      <c r="P63" s="19"/>
      <c r="Q63" s="815">
        <f>'2.Fiscal'!J172</f>
        <v>0</v>
      </c>
      <c r="R63" s="818">
        <f>'2.Fiscal'!L172</f>
        <v>0</v>
      </c>
      <c r="S63" s="897"/>
    </row>
    <row r="64" spans="1:19" s="179" customFormat="1" ht="13.8">
      <c r="D64" s="795" t="s">
        <v>1156</v>
      </c>
      <c r="E64" s="817">
        <f>SUM(E56:E63)</f>
        <v>0</v>
      </c>
      <c r="F64" s="817">
        <f t="shared" ref="F64:G64" si="7">SUM(F56:F63)</f>
        <v>0</v>
      </c>
      <c r="G64" s="817">
        <f t="shared" si="7"/>
        <v>0</v>
      </c>
      <c r="H64" s="937"/>
      <c r="I64" s="826"/>
      <c r="J64" s="826"/>
      <c r="K64" s="826"/>
      <c r="L64" s="826"/>
      <c r="M64" s="826"/>
      <c r="N64" s="826"/>
      <c r="O64" s="19"/>
      <c r="P64" s="19"/>
      <c r="Q64" s="19"/>
      <c r="R64" s="826"/>
      <c r="S64" s="826"/>
    </row>
    <row r="65" spans="1:19" s="179" customFormat="1" ht="13.8">
      <c r="H65" s="937"/>
      <c r="I65" s="826"/>
      <c r="J65" s="826"/>
      <c r="K65" s="826"/>
      <c r="L65" s="826"/>
      <c r="M65" s="826"/>
      <c r="N65" s="826"/>
      <c r="O65" s="19"/>
      <c r="P65" s="828" t="s">
        <v>1179</v>
      </c>
      <c r="Q65" s="820">
        <f>Q60+Q62+Q63</f>
        <v>0</v>
      </c>
      <c r="R65" s="820">
        <f t="shared" ref="R65" si="8">R60+R62+R63</f>
        <v>0</v>
      </c>
      <c r="S65" s="820">
        <f>S60+S62+S63</f>
        <v>0</v>
      </c>
    </row>
    <row r="66" spans="1:19" s="179" customFormat="1" ht="13.8">
      <c r="B66" s="814" t="s">
        <v>214</v>
      </c>
      <c r="H66" s="946"/>
      <c r="I66" s="872"/>
      <c r="J66" s="872"/>
      <c r="K66" s="826"/>
      <c r="L66" s="826"/>
      <c r="M66" s="826"/>
      <c r="N66" s="826"/>
      <c r="O66" s="826"/>
      <c r="P66" s="826"/>
      <c r="Q66" s="826"/>
      <c r="R66" s="826"/>
      <c r="S66" s="826"/>
    </row>
    <row r="67" spans="1:19" s="179" customFormat="1" ht="13.8">
      <c r="A67" s="179">
        <v>6450</v>
      </c>
      <c r="B67" s="179" t="s">
        <v>215</v>
      </c>
      <c r="E67" s="815">
        <f>SUM('2.Fiscal'!F73:H73)</f>
        <v>0</v>
      </c>
      <c r="F67" s="815">
        <f>'2.Fiscal'!L73</f>
        <v>0</v>
      </c>
      <c r="G67" s="815">
        <f>'2.Fiscal'!N73</f>
        <v>0</v>
      </c>
      <c r="H67" s="948"/>
      <c r="I67" s="933"/>
      <c r="J67" s="933"/>
      <c r="K67" s="826"/>
      <c r="L67" s="826"/>
      <c r="M67" s="826"/>
      <c r="N67" s="826"/>
      <c r="O67" s="826"/>
      <c r="P67" s="826"/>
      <c r="Q67" s="826"/>
      <c r="R67" s="826"/>
      <c r="S67" s="826"/>
    </row>
    <row r="68" spans="1:19" s="179" customFormat="1" ht="14.4">
      <c r="A68" s="179">
        <v>6451</v>
      </c>
      <c r="B68" s="179" t="s">
        <v>216</v>
      </c>
      <c r="E68" s="815">
        <f>SUM('2.Fiscal'!F74:H74)</f>
        <v>0</v>
      </c>
      <c r="F68" s="816">
        <f>'2.Fiscal'!L74</f>
        <v>0</v>
      </c>
      <c r="G68" s="816">
        <f>'2.Fiscal'!N74</f>
        <v>0</v>
      </c>
      <c r="H68" s="948"/>
      <c r="I68" s="933"/>
      <c r="J68" s="933"/>
      <c r="K68" s="832" t="str">
        <f>IF(E145&lt;&gt;0,"Check payments made ahead of Residual Receipts Payments!","")</f>
        <v/>
      </c>
      <c r="L68" s="831"/>
      <c r="M68" s="831"/>
      <c r="N68" s="831"/>
      <c r="O68" s="831"/>
      <c r="P68" s="831"/>
      <c r="Q68" s="831"/>
      <c r="R68" s="826"/>
      <c r="S68" s="826"/>
    </row>
    <row r="69" spans="1:19" s="179" customFormat="1" ht="14.4">
      <c r="A69" s="179">
        <v>6452</v>
      </c>
      <c r="B69" s="179" t="s">
        <v>217</v>
      </c>
      <c r="E69" s="815">
        <f>SUM('2.Fiscal'!F75:H75)</f>
        <v>0</v>
      </c>
      <c r="F69" s="816">
        <f>'2.Fiscal'!L75</f>
        <v>0</v>
      </c>
      <c r="G69" s="816">
        <f>'2.Fiscal'!N75</f>
        <v>0</v>
      </c>
      <c r="H69" s="948"/>
      <c r="I69" s="933"/>
      <c r="J69" s="933"/>
      <c r="K69" s="832" t="str">
        <f>IF(E146&lt;&gt;0,"Check Residual Receipts Payments!","")</f>
        <v/>
      </c>
      <c r="L69" s="826"/>
      <c r="M69" s="826"/>
      <c r="N69" s="826"/>
      <c r="O69" s="826"/>
      <c r="P69" s="826"/>
      <c r="Q69" s="826"/>
      <c r="R69" s="826"/>
      <c r="S69" s="826"/>
    </row>
    <row r="70" spans="1:19" s="179" customFormat="1" ht="14.4">
      <c r="A70" s="179">
        <v>6453</v>
      </c>
      <c r="B70" s="179" t="s">
        <v>218</v>
      </c>
      <c r="E70" s="817">
        <f>SUM('2.Fiscal'!F76:H76)</f>
        <v>0</v>
      </c>
      <c r="F70" s="816">
        <f>'2.Fiscal'!L76</f>
        <v>0</v>
      </c>
      <c r="G70" s="816">
        <f>'2.Fiscal'!N76</f>
        <v>0</v>
      </c>
      <c r="H70" s="951"/>
      <c r="I70" s="936"/>
      <c r="J70" s="936"/>
      <c r="K70" s="831"/>
      <c r="L70" s="826"/>
      <c r="M70" s="826"/>
      <c r="N70" s="826"/>
      <c r="O70" s="826"/>
      <c r="P70" s="826"/>
      <c r="Q70" s="826"/>
    </row>
    <row r="71" spans="1:19" s="179" customFormat="1" ht="13.8">
      <c r="D71" s="795" t="s">
        <v>1157</v>
      </c>
      <c r="E71" s="817">
        <f>SUM(E67:E70)</f>
        <v>0</v>
      </c>
      <c r="F71" s="817">
        <f t="shared" ref="F71:G71" si="9">SUM(F67:F70)</f>
        <v>0</v>
      </c>
      <c r="G71" s="817">
        <f t="shared" si="9"/>
        <v>0</v>
      </c>
      <c r="H71" s="937"/>
      <c r="I71" s="826"/>
      <c r="J71" s="826"/>
      <c r="K71" s="826"/>
      <c r="L71" s="826"/>
      <c r="M71" s="826"/>
      <c r="N71" s="826"/>
      <c r="O71" s="826"/>
      <c r="P71" s="826"/>
      <c r="Q71" s="826"/>
    </row>
    <row r="72" spans="1:19" s="179" customFormat="1" ht="13.8">
      <c r="H72" s="937"/>
      <c r="I72" s="826"/>
      <c r="J72" s="826"/>
      <c r="K72" s="826"/>
      <c r="L72" s="826"/>
      <c r="M72" s="826"/>
      <c r="N72" s="826"/>
      <c r="O72" s="826"/>
      <c r="P72" s="826"/>
      <c r="Q72" s="826"/>
    </row>
    <row r="73" spans="1:19" s="179" customFormat="1" ht="13.8">
      <c r="B73" s="814" t="s">
        <v>483</v>
      </c>
      <c r="H73" s="946"/>
      <c r="I73" s="872"/>
      <c r="J73" s="872"/>
    </row>
    <row r="74" spans="1:19" s="179" customFormat="1" ht="13.8">
      <c r="A74" s="179">
        <v>6710</v>
      </c>
      <c r="B74" s="179" t="s">
        <v>220</v>
      </c>
      <c r="E74" s="815">
        <f>SUM('2.Fiscal'!F79:H79)</f>
        <v>0</v>
      </c>
      <c r="F74" s="815">
        <f>'2.Fiscal'!L79</f>
        <v>0</v>
      </c>
      <c r="G74" s="815">
        <f>'2.Fiscal'!N79</f>
        <v>0</v>
      </c>
      <c r="H74" s="948"/>
      <c r="I74" s="933"/>
      <c r="J74" s="933"/>
    </row>
    <row r="75" spans="1:19" s="179" customFormat="1" ht="13.8">
      <c r="A75" s="179">
        <v>6711</v>
      </c>
      <c r="B75" s="179" t="s">
        <v>221</v>
      </c>
      <c r="E75" s="815">
        <f>SUM('2.Fiscal'!F80:H80)</f>
        <v>0</v>
      </c>
      <c r="F75" s="816">
        <f>'2.Fiscal'!L80</f>
        <v>0</v>
      </c>
      <c r="G75" s="816">
        <f>'2.Fiscal'!N80</f>
        <v>0</v>
      </c>
      <c r="H75" s="948"/>
      <c r="I75" s="933"/>
      <c r="J75" s="933"/>
    </row>
    <row r="76" spans="1:19" s="179" customFormat="1" ht="13.8">
      <c r="A76" s="179">
        <v>6790</v>
      </c>
      <c r="B76" s="179" t="s">
        <v>222</v>
      </c>
      <c r="E76" s="817">
        <f>SUM('2.Fiscal'!F81:H81)</f>
        <v>0</v>
      </c>
      <c r="F76" s="816">
        <f>'2.Fiscal'!L81</f>
        <v>0</v>
      </c>
      <c r="G76" s="816">
        <f>'2.Fiscal'!N81</f>
        <v>0</v>
      </c>
      <c r="H76" s="951"/>
      <c r="I76" s="936"/>
      <c r="J76" s="936"/>
    </row>
    <row r="77" spans="1:19" s="179" customFormat="1" ht="13.8">
      <c r="D77" s="795" t="s">
        <v>1159</v>
      </c>
      <c r="E77" s="817">
        <f>SUM(E74:E76)</f>
        <v>0</v>
      </c>
      <c r="F77" s="817">
        <f t="shared" ref="F77:G77" si="10">SUM(F74:F76)</f>
        <v>0</v>
      </c>
      <c r="G77" s="817">
        <f t="shared" si="10"/>
        <v>0</v>
      </c>
      <c r="H77" s="937"/>
      <c r="I77" s="826"/>
      <c r="J77" s="826"/>
    </row>
    <row r="78" spans="1:19" s="179" customFormat="1" ht="13.8">
      <c r="H78" s="937"/>
      <c r="I78" s="826"/>
      <c r="J78" s="826"/>
    </row>
    <row r="79" spans="1:19" s="179" customFormat="1" ht="13.8">
      <c r="B79" s="814" t="s">
        <v>224</v>
      </c>
      <c r="H79" s="946"/>
      <c r="I79" s="872"/>
      <c r="J79" s="872"/>
    </row>
    <row r="80" spans="1:19" s="179" customFormat="1" ht="13.8">
      <c r="A80" s="179">
        <v>6720</v>
      </c>
      <c r="B80" s="179" t="s">
        <v>225</v>
      </c>
      <c r="E80" s="815">
        <f>SUM('2.Fiscal'!F84:H84)</f>
        <v>0</v>
      </c>
      <c r="F80" s="815">
        <f>'2.Fiscal'!L84</f>
        <v>0</v>
      </c>
      <c r="G80" s="815">
        <f>'2.Fiscal'!N84</f>
        <v>0</v>
      </c>
      <c r="H80" s="948"/>
      <c r="I80" s="933"/>
      <c r="J80" s="933"/>
    </row>
    <row r="81" spans="1:10" s="179" customFormat="1" ht="13.8">
      <c r="A81" s="179">
        <v>6721</v>
      </c>
      <c r="B81" s="179" t="s">
        <v>226</v>
      </c>
      <c r="E81" s="815">
        <f>SUM('2.Fiscal'!F85:H85)</f>
        <v>0</v>
      </c>
      <c r="F81" s="816">
        <f>'2.Fiscal'!L85</f>
        <v>0</v>
      </c>
      <c r="G81" s="816">
        <f>'2.Fiscal'!N85</f>
        <v>0</v>
      </c>
      <c r="H81" s="948"/>
      <c r="I81" s="933"/>
      <c r="J81" s="933"/>
    </row>
    <row r="82" spans="1:10" s="179" customFormat="1" ht="13.8">
      <c r="A82" s="179">
        <v>6722</v>
      </c>
      <c r="B82" s="179" t="s">
        <v>430</v>
      </c>
      <c r="E82" s="815">
        <f>SUM('2.Fiscal'!F86:H86)</f>
        <v>0</v>
      </c>
      <c r="F82" s="816">
        <f>'2.Fiscal'!L86</f>
        <v>0</v>
      </c>
      <c r="G82" s="816">
        <f>'2.Fiscal'!N86</f>
        <v>0</v>
      </c>
      <c r="H82" s="948"/>
      <c r="I82" s="933"/>
      <c r="J82" s="933"/>
    </row>
    <row r="83" spans="1:10" s="179" customFormat="1" ht="13.8">
      <c r="A83" s="179">
        <v>6724</v>
      </c>
      <c r="B83" s="179" t="s">
        <v>1082</v>
      </c>
      <c r="E83" s="817">
        <f>SUM('2.Fiscal'!F87:H87)</f>
        <v>0</v>
      </c>
      <c r="F83" s="816">
        <f>'2.Fiscal'!L87</f>
        <v>0</v>
      </c>
      <c r="G83" s="816">
        <f>'2.Fiscal'!N87</f>
        <v>0</v>
      </c>
      <c r="H83" s="951"/>
      <c r="I83" s="936"/>
      <c r="J83" s="936"/>
    </row>
    <row r="84" spans="1:10" s="179" customFormat="1" ht="13.8">
      <c r="D84" s="795" t="s">
        <v>1160</v>
      </c>
      <c r="E84" s="817">
        <f>SUM(E80:E83)</f>
        <v>0</v>
      </c>
      <c r="F84" s="817">
        <f t="shared" ref="F84:G84" si="11">SUM(F80:F83)</f>
        <v>0</v>
      </c>
      <c r="G84" s="817">
        <f t="shared" si="11"/>
        <v>0</v>
      </c>
      <c r="H84" s="937"/>
      <c r="I84" s="826"/>
      <c r="J84" s="826"/>
    </row>
    <row r="85" spans="1:10" s="179" customFormat="1" ht="13.8">
      <c r="A85" s="179" t="s">
        <v>184</v>
      </c>
      <c r="E85" s="813" t="str">
        <f>' 1A.Prop&amp;Residents'!$S$9</f>
        <v/>
      </c>
      <c r="H85" s="937"/>
      <c r="I85" s="826"/>
      <c r="J85" s="826"/>
    </row>
    <row r="86" spans="1:10" s="179" customFormat="1" ht="13.8">
      <c r="E86" s="813"/>
      <c r="H86" s="937"/>
      <c r="I86" s="937"/>
      <c r="J86" s="937"/>
    </row>
    <row r="87" spans="1:10" s="179" customFormat="1" ht="13.8">
      <c r="A87" s="812" t="s">
        <v>1125</v>
      </c>
      <c r="B87" s="808"/>
      <c r="C87" s="808"/>
      <c r="D87" s="808"/>
      <c r="E87" s="808"/>
      <c r="F87" s="808"/>
      <c r="G87" s="808"/>
      <c r="H87" s="937"/>
      <c r="I87" s="937"/>
      <c r="J87" s="937"/>
    </row>
    <row r="88" spans="1:10" s="179" customFormat="1" ht="13.8">
      <c r="A88" s="812" t="str">
        <f>"For the Year Ended "&amp;TEXT(' 1A.Prop&amp;Residents'!$G$13,"mmmm")&amp;" "&amp;DAY(' 1A.Prop&amp;Residents'!$G$13)&amp;", "&amp;YEAR(' 1A.Prop&amp;Residents'!$G$13)</f>
        <v>For the Year Ended January 0, 1900</v>
      </c>
      <c r="B88" s="808"/>
      <c r="C88" s="808"/>
      <c r="D88" s="808"/>
      <c r="E88" s="808"/>
      <c r="F88" s="808"/>
      <c r="G88" s="808"/>
      <c r="H88" s="938"/>
      <c r="I88" s="938"/>
      <c r="J88" s="938"/>
    </row>
    <row r="89" spans="1:10" s="179" customFormat="1" ht="13.8">
      <c r="A89" s="812"/>
      <c r="B89" s="808"/>
      <c r="C89" s="808"/>
      <c r="D89" s="808"/>
      <c r="E89" s="894" t="str">
        <f>IF(' 1A.Prop&amp;Residents'!$G$13&lt;&gt;"",YEAR(' 1A.Prop&amp;Residents'!$G$13),"")</f>
        <v/>
      </c>
      <c r="F89" s="894"/>
      <c r="G89" s="894"/>
      <c r="H89" s="947"/>
      <c r="I89" s="932"/>
      <c r="J89" s="932"/>
    </row>
    <row r="90" spans="1:10" s="179" customFormat="1" ht="13.8">
      <c r="B90" s="814" t="s">
        <v>484</v>
      </c>
      <c r="E90" s="823" t="s">
        <v>151</v>
      </c>
      <c r="F90" s="823" t="s">
        <v>59</v>
      </c>
      <c r="G90" s="823" t="s">
        <v>1201</v>
      </c>
      <c r="H90" s="946"/>
      <c r="I90" s="872"/>
      <c r="J90" s="872"/>
    </row>
    <row r="91" spans="1:10" s="179" customFormat="1" ht="13.8">
      <c r="A91" s="179">
        <v>6510</v>
      </c>
      <c r="B91" s="179" t="s">
        <v>229</v>
      </c>
      <c r="E91" s="815">
        <f>SUM('2.Fiscal'!F91:H91)</f>
        <v>0</v>
      </c>
      <c r="F91" s="815">
        <f>'2.Fiscal'!L91</f>
        <v>0</v>
      </c>
      <c r="G91" s="815">
        <f>'2.Fiscal'!N91</f>
        <v>0</v>
      </c>
      <c r="H91" s="948"/>
      <c r="I91" s="933"/>
      <c r="J91" s="933"/>
    </row>
    <row r="92" spans="1:10" s="179" customFormat="1" ht="13.8">
      <c r="A92" s="179">
        <v>6515</v>
      </c>
      <c r="B92" s="179" t="s">
        <v>230</v>
      </c>
      <c r="E92" s="815">
        <f>SUM('2.Fiscal'!F92:H92)</f>
        <v>0</v>
      </c>
      <c r="F92" s="816">
        <f>'2.Fiscal'!L92</f>
        <v>0</v>
      </c>
      <c r="G92" s="816">
        <f>'2.Fiscal'!N92</f>
        <v>0</v>
      </c>
      <c r="H92" s="948"/>
      <c r="I92" s="933"/>
      <c r="J92" s="933"/>
    </row>
    <row r="93" spans="1:10" s="179" customFormat="1" ht="13.8">
      <c r="A93" s="179">
        <v>6520</v>
      </c>
      <c r="B93" s="179" t="s">
        <v>231</v>
      </c>
      <c r="E93" s="815">
        <f>SUM('2.Fiscal'!F93:H93)</f>
        <v>0</v>
      </c>
      <c r="F93" s="816">
        <f>'2.Fiscal'!L93</f>
        <v>0</v>
      </c>
      <c r="G93" s="816">
        <f>'2.Fiscal'!N93</f>
        <v>0</v>
      </c>
      <c r="H93" s="948"/>
      <c r="I93" s="933"/>
      <c r="J93" s="933"/>
    </row>
    <row r="94" spans="1:10" s="179" customFormat="1" ht="13.8">
      <c r="A94" s="179">
        <v>6525</v>
      </c>
      <c r="B94" s="179" t="s">
        <v>232</v>
      </c>
      <c r="E94" s="815">
        <f>SUM('2.Fiscal'!F94:H94)</f>
        <v>0</v>
      </c>
      <c r="F94" s="816">
        <f>'2.Fiscal'!L94</f>
        <v>0</v>
      </c>
      <c r="G94" s="816">
        <f>'2.Fiscal'!N94</f>
        <v>0</v>
      </c>
      <c r="H94" s="948"/>
      <c r="I94" s="933"/>
      <c r="J94" s="933"/>
    </row>
    <row r="95" spans="1:10" s="179" customFormat="1" ht="13.8">
      <c r="A95" s="179">
        <v>6530</v>
      </c>
      <c r="B95" s="179" t="s">
        <v>233</v>
      </c>
      <c r="E95" s="815">
        <f>SUM('2.Fiscal'!F95:H95)</f>
        <v>0</v>
      </c>
      <c r="F95" s="816">
        <f>'2.Fiscal'!L95</f>
        <v>0</v>
      </c>
      <c r="G95" s="816">
        <f>'2.Fiscal'!N95</f>
        <v>0</v>
      </c>
      <c r="H95" s="948"/>
      <c r="I95" s="933"/>
      <c r="J95" s="933"/>
    </row>
    <row r="96" spans="1:10" s="179" customFormat="1" ht="13.8">
      <c r="A96" s="179">
        <v>6546</v>
      </c>
      <c r="B96" s="179" t="s">
        <v>234</v>
      </c>
      <c r="E96" s="815">
        <f>SUM('2.Fiscal'!F96:H96)</f>
        <v>0</v>
      </c>
      <c r="F96" s="816">
        <f>'2.Fiscal'!L96</f>
        <v>0</v>
      </c>
      <c r="G96" s="816">
        <f>'2.Fiscal'!N96</f>
        <v>0</v>
      </c>
      <c r="H96" s="948"/>
      <c r="I96" s="933"/>
      <c r="J96" s="933"/>
    </row>
    <row r="97" spans="1:19" s="179" customFormat="1" ht="13.8">
      <c r="A97" s="179">
        <v>6570</v>
      </c>
      <c r="B97" s="179" t="s">
        <v>235</v>
      </c>
      <c r="E97" s="815">
        <f>SUM('2.Fiscal'!F97:H97)</f>
        <v>0</v>
      </c>
      <c r="F97" s="816">
        <f>'2.Fiscal'!L97</f>
        <v>0</v>
      </c>
      <c r="G97" s="816">
        <f>'2.Fiscal'!N97</f>
        <v>0</v>
      </c>
      <c r="H97" s="948"/>
      <c r="I97" s="933"/>
      <c r="J97" s="933"/>
    </row>
    <row r="98" spans="1:19" s="179" customFormat="1" ht="13.8">
      <c r="A98" s="179">
        <v>6590</v>
      </c>
      <c r="B98" s="179" t="s">
        <v>1158</v>
      </c>
      <c r="E98" s="817">
        <f>SUM('2.Fiscal'!F98:H98)</f>
        <v>0</v>
      </c>
      <c r="F98" s="816">
        <f>'2.Fiscal'!L98</f>
        <v>0</v>
      </c>
      <c r="G98" s="816">
        <f>'2.Fiscal'!N98</f>
        <v>0</v>
      </c>
      <c r="H98" s="951"/>
      <c r="I98" s="936"/>
      <c r="J98" s="936"/>
    </row>
    <row r="99" spans="1:19" s="179" customFormat="1" ht="13.8">
      <c r="D99" s="795" t="s">
        <v>1161</v>
      </c>
      <c r="E99" s="817">
        <f>SUM(E91:E98)</f>
        <v>0</v>
      </c>
      <c r="F99" s="817">
        <f t="shared" ref="F99:G99" si="12">SUM(F91:F98)</f>
        <v>0</v>
      </c>
      <c r="G99" s="817">
        <f t="shared" si="12"/>
        <v>0</v>
      </c>
      <c r="H99" s="937"/>
      <c r="I99" s="826"/>
      <c r="J99" s="826"/>
    </row>
    <row r="100" spans="1:19" s="179" customFormat="1" ht="13.8">
      <c r="H100" s="946"/>
      <c r="I100" s="872"/>
      <c r="J100" s="872"/>
    </row>
    <row r="101" spans="1:19" s="179" customFormat="1" ht="13.8">
      <c r="A101" s="179">
        <v>6900</v>
      </c>
      <c r="B101" s="179" t="s">
        <v>497</v>
      </c>
      <c r="E101" s="815">
        <f>SUM('2.Fiscal'!F100:H100)</f>
        <v>0</v>
      </c>
      <c r="F101" s="815">
        <f>'2.Fiscal'!L100</f>
        <v>0</v>
      </c>
      <c r="G101" s="815">
        <f>'2.Fiscal'!N100</f>
        <v>0</v>
      </c>
      <c r="H101" s="937"/>
      <c r="I101" s="826"/>
      <c r="J101" s="826"/>
    </row>
    <row r="102" spans="1:19" s="179" customFormat="1" ht="13.8">
      <c r="H102" s="946"/>
      <c r="I102" s="872"/>
      <c r="J102" s="872"/>
    </row>
    <row r="103" spans="1:19" s="179" customFormat="1" ht="27.6">
      <c r="B103" s="821" t="s">
        <v>1162</v>
      </c>
      <c r="E103" s="872">
        <f>SUM('2.Fiscal'!F102:F103)</f>
        <v>0</v>
      </c>
      <c r="F103" s="872">
        <f>SUM('2.Fiscal'!L102:L103)</f>
        <v>0</v>
      </c>
      <c r="G103" s="872">
        <f>SUM('2.Fiscal'!N102:N103)</f>
        <v>0</v>
      </c>
      <c r="H103" s="937"/>
      <c r="I103" s="826"/>
      <c r="J103" s="826"/>
    </row>
    <row r="104" spans="1:19" s="179" customFormat="1" ht="13.8">
      <c r="H104" s="950"/>
      <c r="I104" s="935"/>
      <c r="J104" s="935"/>
    </row>
    <row r="105" spans="1:19" s="179" customFormat="1" ht="13.8">
      <c r="D105" s="813" t="s">
        <v>1199</v>
      </c>
      <c r="E105" s="820">
        <f>E45+E53+E64+E71+E77+E84+E99+E101-E103</f>
        <v>0</v>
      </c>
      <c r="F105" s="820">
        <f t="shared" ref="F105:G105" si="13">F45+F53+F64+F71+F77+F84+F99+F101-F103</f>
        <v>0</v>
      </c>
      <c r="G105" s="820">
        <f t="shared" si="13"/>
        <v>0</v>
      </c>
      <c r="H105" s="5"/>
      <c r="I105" s="19"/>
      <c r="J105" s="19"/>
    </row>
    <row r="106" spans="1:19" ht="13.8">
      <c r="K106" s="179"/>
      <c r="L106" s="179"/>
      <c r="M106" s="179"/>
      <c r="N106" s="179"/>
      <c r="O106" s="179"/>
      <c r="P106" s="179"/>
      <c r="Q106" s="179"/>
      <c r="R106" s="179"/>
      <c r="S106" s="179"/>
    </row>
    <row r="107" spans="1:19" ht="13.8">
      <c r="B107" s="814" t="s">
        <v>1213</v>
      </c>
      <c r="K107" s="179"/>
      <c r="L107" s="179"/>
      <c r="M107" s="179"/>
      <c r="N107" s="179"/>
      <c r="O107" s="179"/>
      <c r="P107" s="179"/>
      <c r="Q107" s="179"/>
      <c r="R107" s="179"/>
      <c r="S107" s="179"/>
    </row>
    <row r="108" spans="1:19" ht="13.8">
      <c r="B108" s="2215" t="s">
        <v>1254</v>
      </c>
      <c r="C108" s="2215"/>
      <c r="D108" s="2215"/>
      <c r="E108" s="2215"/>
      <c r="H108" s="946"/>
      <c r="J108" s="941"/>
      <c r="K108" s="179"/>
      <c r="L108" s="179"/>
      <c r="M108" s="179"/>
      <c r="N108" s="179"/>
      <c r="O108" s="179"/>
      <c r="P108" s="179"/>
      <c r="Q108" s="179"/>
      <c r="R108" s="179"/>
      <c r="S108" s="179"/>
    </row>
    <row r="109" spans="1:19" ht="13.8">
      <c r="A109" s="179">
        <v>6820</v>
      </c>
      <c r="B109" s="179" t="s">
        <v>1215</v>
      </c>
      <c r="E109" s="1764"/>
      <c r="F109" s="907"/>
      <c r="G109" s="815">
        <f>E109-F109</f>
        <v>0</v>
      </c>
      <c r="H109" s="948"/>
      <c r="I109" s="941">
        <f t="shared" ref="I109:I114" si="14">IF(E109&lt;&gt;"",1,0)</f>
        <v>0</v>
      </c>
      <c r="J109" s="941"/>
      <c r="K109" s="179"/>
      <c r="L109" s="179"/>
      <c r="M109" s="179"/>
      <c r="N109" s="179"/>
      <c r="O109" s="179"/>
      <c r="P109" s="179"/>
      <c r="Q109" s="179"/>
      <c r="R109" s="179"/>
      <c r="S109" s="179"/>
    </row>
    <row r="110" spans="1:19" ht="13.8">
      <c r="A110" s="179">
        <v>6825</v>
      </c>
      <c r="B110" s="179" t="s">
        <v>1216</v>
      </c>
      <c r="E110" s="1764"/>
      <c r="F110" s="908"/>
      <c r="G110" s="816">
        <f t="shared" ref="G110:G114" si="15">E110-F110</f>
        <v>0</v>
      </c>
      <c r="H110" s="948"/>
      <c r="I110" s="941">
        <f t="shared" si="14"/>
        <v>0</v>
      </c>
      <c r="J110" s="941"/>
      <c r="K110" s="179"/>
      <c r="L110" s="179"/>
      <c r="M110" s="179"/>
      <c r="N110" s="179"/>
      <c r="O110" s="179"/>
      <c r="P110" s="179"/>
      <c r="Q110" s="179"/>
      <c r="R110" s="179"/>
      <c r="S110" s="179"/>
    </row>
    <row r="111" spans="1:19" ht="13.8">
      <c r="A111" s="179">
        <v>6830</v>
      </c>
      <c r="B111" s="179" t="s">
        <v>1217</v>
      </c>
      <c r="E111" s="1764"/>
      <c r="F111" s="908"/>
      <c r="G111" s="816">
        <f t="shared" si="15"/>
        <v>0</v>
      </c>
      <c r="H111" s="948"/>
      <c r="I111" s="941">
        <f t="shared" si="14"/>
        <v>0</v>
      </c>
      <c r="J111" s="941"/>
      <c r="K111" s="179"/>
      <c r="L111" s="179"/>
      <c r="M111" s="179"/>
      <c r="N111" s="179"/>
      <c r="O111" s="179"/>
      <c r="P111" s="179"/>
      <c r="Q111" s="179"/>
    </row>
    <row r="112" spans="1:19" ht="13.8">
      <c r="A112" s="179">
        <v>6840</v>
      </c>
      <c r="B112" s="179" t="s">
        <v>1218</v>
      </c>
      <c r="E112" s="1764"/>
      <c r="F112" s="908"/>
      <c r="G112" s="816">
        <f t="shared" si="15"/>
        <v>0</v>
      </c>
      <c r="H112" s="948"/>
      <c r="I112" s="941">
        <f t="shared" si="14"/>
        <v>0</v>
      </c>
      <c r="J112" s="941"/>
      <c r="K112" s="179"/>
      <c r="L112" s="179"/>
      <c r="M112" s="179"/>
      <c r="N112" s="179"/>
      <c r="O112" s="179"/>
      <c r="P112" s="179"/>
      <c r="Q112" s="179"/>
    </row>
    <row r="113" spans="1:17" ht="13.8">
      <c r="A113" s="179">
        <v>6850</v>
      </c>
      <c r="B113" s="179" t="s">
        <v>1219</v>
      </c>
      <c r="E113" s="1764"/>
      <c r="F113" s="908"/>
      <c r="G113" s="816">
        <f t="shared" si="15"/>
        <v>0</v>
      </c>
      <c r="H113" s="948"/>
      <c r="I113" s="941">
        <f t="shared" si="14"/>
        <v>0</v>
      </c>
      <c r="J113" s="941"/>
      <c r="K113" s="179"/>
      <c r="L113" s="179"/>
      <c r="M113" s="179"/>
      <c r="N113" s="179"/>
      <c r="O113" s="179"/>
      <c r="P113" s="179"/>
      <c r="Q113" s="179"/>
    </row>
    <row r="114" spans="1:17" ht="13.8">
      <c r="A114" s="179">
        <v>6890</v>
      </c>
      <c r="B114" s="179" t="s">
        <v>1220</v>
      </c>
      <c r="E114" s="1764"/>
      <c r="F114" s="908"/>
      <c r="G114" s="816">
        <f t="shared" si="15"/>
        <v>0</v>
      </c>
      <c r="H114" s="951"/>
      <c r="I114" s="941">
        <f t="shared" si="14"/>
        <v>0</v>
      </c>
      <c r="J114" s="941"/>
      <c r="K114" s="179"/>
      <c r="L114" s="179"/>
      <c r="M114" s="179"/>
      <c r="N114" s="179"/>
      <c r="O114" s="179"/>
      <c r="P114" s="179"/>
      <c r="Q114" s="179"/>
    </row>
    <row r="115" spans="1:17" ht="13.8">
      <c r="A115" s="179"/>
      <c r="B115" s="179"/>
      <c r="D115" s="795" t="s">
        <v>1250</v>
      </c>
      <c r="E115" s="817">
        <f>SUM(E109:E114)</f>
        <v>0</v>
      </c>
      <c r="F115" s="817">
        <f>SUM(F109:F114)</f>
        <v>0</v>
      </c>
      <c r="G115" s="817">
        <f>SUM(G109:G114)</f>
        <v>0</v>
      </c>
      <c r="K115" s="179"/>
      <c r="L115" s="179"/>
      <c r="M115" s="179"/>
      <c r="N115" s="179"/>
      <c r="O115" s="179"/>
      <c r="P115" s="179"/>
      <c r="Q115" s="179"/>
    </row>
    <row r="116" spans="1:17" ht="13.8">
      <c r="A116" s="179"/>
      <c r="B116" s="179"/>
      <c r="D116" s="795"/>
      <c r="E116" s="818"/>
      <c r="H116" s="950"/>
      <c r="I116" s="935"/>
      <c r="J116" s="935"/>
      <c r="K116" s="179"/>
      <c r="L116" s="179"/>
      <c r="M116" s="179"/>
      <c r="N116" s="179"/>
      <c r="O116" s="179"/>
      <c r="P116" s="179"/>
      <c r="Q116" s="179"/>
    </row>
    <row r="117" spans="1:17" ht="13.8">
      <c r="A117" s="179">
        <v>6000</v>
      </c>
      <c r="B117" s="179"/>
      <c r="D117" s="813" t="s">
        <v>1222</v>
      </c>
      <c r="E117" s="820">
        <f>E105+E115</f>
        <v>0</v>
      </c>
      <c r="F117" s="820">
        <f t="shared" ref="F117:G117" si="16">F105+F115</f>
        <v>0</v>
      </c>
      <c r="G117" s="820">
        <f t="shared" si="16"/>
        <v>0</v>
      </c>
      <c r="H117" s="950"/>
      <c r="I117" s="935"/>
      <c r="J117" s="935"/>
      <c r="K117" s="179"/>
      <c r="L117" s="179"/>
      <c r="M117" s="179"/>
      <c r="N117" s="179"/>
      <c r="O117" s="179"/>
      <c r="P117" s="179"/>
      <c r="Q117" s="179"/>
    </row>
    <row r="118" spans="1:17" ht="13.8">
      <c r="A118" s="179">
        <v>5060</v>
      </c>
      <c r="B118" s="179"/>
      <c r="D118" s="813" t="s">
        <v>1221</v>
      </c>
      <c r="E118" s="820">
        <f>E33-E117</f>
        <v>0</v>
      </c>
      <c r="F118" s="820">
        <f>F33-F117</f>
        <v>0</v>
      </c>
      <c r="G118" s="820">
        <f>G33-G117</f>
        <v>0</v>
      </c>
      <c r="K118" s="179"/>
      <c r="L118" s="179"/>
      <c r="M118" s="179"/>
      <c r="N118" s="179"/>
      <c r="O118" s="179"/>
      <c r="P118" s="179"/>
      <c r="Q118" s="179"/>
    </row>
    <row r="119" spans="1:17" ht="13.8">
      <c r="A119" s="179"/>
      <c r="B119" s="179"/>
      <c r="D119" s="813"/>
      <c r="E119" s="903"/>
      <c r="K119" s="179"/>
      <c r="L119" s="179"/>
      <c r="M119" s="179"/>
      <c r="N119" s="179"/>
      <c r="O119" s="179"/>
      <c r="P119" s="179"/>
      <c r="Q119" s="179"/>
    </row>
    <row r="120" spans="1:17" ht="13.8">
      <c r="A120" s="179"/>
      <c r="B120" s="814" t="s">
        <v>1223</v>
      </c>
      <c r="D120" s="813"/>
      <c r="E120" s="903"/>
      <c r="K120" s="813"/>
      <c r="L120" s="904"/>
      <c r="M120" s="179"/>
      <c r="N120" s="179"/>
      <c r="O120" s="179"/>
      <c r="P120" s="179"/>
      <c r="Q120" s="179"/>
    </row>
    <row r="121" spans="1:17" ht="13.8">
      <c r="A121" s="179"/>
      <c r="B121" s="2215" t="s">
        <v>1254</v>
      </c>
      <c r="C121" s="2215"/>
      <c r="D121" s="2215"/>
      <c r="E121" s="2215"/>
      <c r="H121" s="946"/>
      <c r="J121" s="941"/>
      <c r="K121" s="813"/>
      <c r="L121" s="904"/>
      <c r="M121" s="179"/>
      <c r="N121" s="179"/>
      <c r="O121" s="179"/>
      <c r="P121" s="179"/>
      <c r="Q121" s="179"/>
    </row>
    <row r="122" spans="1:17" ht="13.8">
      <c r="A122" s="179">
        <v>6600</v>
      </c>
      <c r="B122" s="179" t="s">
        <v>1224</v>
      </c>
      <c r="D122" s="813"/>
      <c r="E122" s="1764"/>
      <c r="F122" s="901"/>
      <c r="G122" s="815">
        <f>E122-F122</f>
        <v>0</v>
      </c>
      <c r="H122" s="948"/>
      <c r="I122" s="941">
        <f>IF(E122&lt;&gt;"",1,0)</f>
        <v>0</v>
      </c>
      <c r="J122" s="941"/>
      <c r="K122" s="179"/>
      <c r="L122" s="179"/>
      <c r="M122" s="179"/>
      <c r="N122" s="179"/>
      <c r="O122" s="179"/>
      <c r="P122" s="179"/>
      <c r="Q122" s="179"/>
    </row>
    <row r="123" spans="1:17" ht="13.8">
      <c r="A123" s="179">
        <v>6610</v>
      </c>
      <c r="B123" s="179" t="s">
        <v>1225</v>
      </c>
      <c r="D123" s="813"/>
      <c r="E123" s="1764"/>
      <c r="F123" s="902"/>
      <c r="G123" s="816">
        <f t="shared" ref="G123" si="17">E123-F123</f>
        <v>0</v>
      </c>
      <c r="H123" s="950"/>
      <c r="I123" s="941">
        <f>IF(E123&lt;&gt;"",1,0)</f>
        <v>0</v>
      </c>
      <c r="J123" s="935"/>
      <c r="K123" s="179"/>
      <c r="L123" s="179"/>
      <c r="M123" s="179"/>
      <c r="N123" s="179"/>
      <c r="O123" s="179"/>
      <c r="P123" s="179"/>
      <c r="Q123" s="179"/>
    </row>
    <row r="124" spans="1:17" ht="13.8">
      <c r="A124" s="179"/>
      <c r="B124" s="179"/>
      <c r="D124" s="813" t="s">
        <v>1346</v>
      </c>
      <c r="E124" s="820">
        <f>E118-SUM(E122:E123)</f>
        <v>0</v>
      </c>
      <c r="F124" s="820">
        <f>F118-SUM(F122:F123)</f>
        <v>0</v>
      </c>
      <c r="G124" s="820">
        <f>G118-SUM(G122:G123)</f>
        <v>0</v>
      </c>
      <c r="K124" s="179"/>
      <c r="L124" s="179"/>
      <c r="M124" s="179"/>
      <c r="N124" s="179"/>
      <c r="O124" s="179"/>
      <c r="P124" s="179"/>
      <c r="Q124" s="179"/>
    </row>
    <row r="125" spans="1:17" ht="27.75" customHeight="1">
      <c r="A125" s="179"/>
      <c r="B125" s="814" t="s">
        <v>1226</v>
      </c>
      <c r="D125" s="813"/>
      <c r="E125" s="903"/>
      <c r="K125" s="813"/>
      <c r="L125" s="905"/>
      <c r="M125" s="179"/>
      <c r="N125" s="179"/>
      <c r="O125" s="179"/>
      <c r="P125" s="179"/>
      <c r="Q125" s="179"/>
    </row>
    <row r="126" spans="1:17" ht="13.8">
      <c r="B126" s="2215" t="s">
        <v>1229</v>
      </c>
      <c r="C126" s="2215"/>
      <c r="D126" s="2215"/>
      <c r="E126" s="2215"/>
      <c r="H126" s="946"/>
      <c r="K126" s="179"/>
      <c r="L126" s="179"/>
      <c r="M126" s="179"/>
      <c r="N126" s="179"/>
      <c r="O126" s="179"/>
      <c r="P126" s="179"/>
      <c r="Q126" s="179"/>
    </row>
    <row r="127" spans="1:17" ht="13.8">
      <c r="A127" s="179">
        <v>7190</v>
      </c>
      <c r="B127" s="963"/>
      <c r="D127" s="813"/>
      <c r="E127" s="1764"/>
      <c r="F127" s="907"/>
      <c r="G127" s="815">
        <f>E127-F127</f>
        <v>0</v>
      </c>
      <c r="H127" s="948"/>
      <c r="I127" s="941">
        <f t="shared" ref="I127:I136" si="18">IF(OR(AND(B127="",E127=""),AND(B127&lt;&gt;"",E127&lt;&gt;"")),1,0)</f>
        <v>1</v>
      </c>
      <c r="J127" s="941"/>
      <c r="K127" s="179"/>
      <c r="L127" s="179"/>
      <c r="M127" s="179"/>
      <c r="N127" s="179"/>
      <c r="O127" s="179"/>
      <c r="P127" s="179"/>
      <c r="Q127" s="179"/>
    </row>
    <row r="128" spans="1:17" ht="13.8">
      <c r="A128" s="179">
        <v>7190</v>
      </c>
      <c r="B128" s="963"/>
      <c r="D128" s="813"/>
      <c r="E128" s="1764"/>
      <c r="F128" s="908"/>
      <c r="G128" s="816">
        <f t="shared" ref="G128:G136" si="19">E128-F128</f>
        <v>0</v>
      </c>
      <c r="H128" s="948"/>
      <c r="I128" s="941">
        <f t="shared" si="18"/>
        <v>1</v>
      </c>
      <c r="J128" s="941"/>
      <c r="K128" s="179"/>
      <c r="L128" s="905"/>
      <c r="M128" s="179"/>
      <c r="N128" s="179"/>
      <c r="O128" s="179"/>
      <c r="P128" s="179"/>
      <c r="Q128" s="179"/>
    </row>
    <row r="129" spans="1:17" ht="13.8">
      <c r="A129" s="179">
        <v>7190</v>
      </c>
      <c r="B129" s="963"/>
      <c r="D129" s="813"/>
      <c r="E129" s="1764"/>
      <c r="F129" s="908"/>
      <c r="G129" s="816">
        <f t="shared" si="19"/>
        <v>0</v>
      </c>
      <c r="H129" s="948"/>
      <c r="I129" s="941">
        <f t="shared" si="18"/>
        <v>1</v>
      </c>
      <c r="J129" s="941"/>
      <c r="K129" s="179"/>
      <c r="L129" s="179"/>
      <c r="M129" s="179"/>
      <c r="N129" s="179"/>
      <c r="O129" s="179"/>
      <c r="P129" s="179"/>
      <c r="Q129" s="179"/>
    </row>
    <row r="130" spans="1:17" ht="13.8">
      <c r="A130" s="179">
        <v>7190</v>
      </c>
      <c r="B130" s="963"/>
      <c r="D130" s="813"/>
      <c r="E130" s="1764"/>
      <c r="F130" s="908"/>
      <c r="G130" s="816">
        <f t="shared" si="19"/>
        <v>0</v>
      </c>
      <c r="H130" s="948"/>
      <c r="I130" s="941">
        <f t="shared" si="18"/>
        <v>1</v>
      </c>
      <c r="J130" s="941"/>
      <c r="K130" s="179"/>
      <c r="L130" s="179"/>
      <c r="M130" s="179"/>
      <c r="N130" s="179"/>
      <c r="O130" s="179"/>
      <c r="P130" s="179"/>
      <c r="Q130" s="179"/>
    </row>
    <row r="131" spans="1:17" ht="13.8">
      <c r="A131" s="179">
        <v>7190</v>
      </c>
      <c r="B131" s="963"/>
      <c r="D131" s="813"/>
      <c r="E131" s="1764"/>
      <c r="F131" s="908"/>
      <c r="G131" s="816">
        <f t="shared" si="19"/>
        <v>0</v>
      </c>
      <c r="H131" s="948"/>
      <c r="I131" s="941">
        <f t="shared" si="18"/>
        <v>1</v>
      </c>
      <c r="J131" s="941"/>
      <c r="K131" s="179"/>
      <c r="L131" s="179"/>
      <c r="M131" s="179"/>
      <c r="N131" s="179"/>
      <c r="O131" s="179"/>
      <c r="P131" s="179"/>
      <c r="Q131" s="179"/>
    </row>
    <row r="132" spans="1:17" ht="13.8">
      <c r="A132" s="179">
        <v>7190</v>
      </c>
      <c r="B132" s="963"/>
      <c r="D132" s="813"/>
      <c r="E132" s="1764"/>
      <c r="F132" s="908"/>
      <c r="G132" s="816">
        <f t="shared" si="19"/>
        <v>0</v>
      </c>
      <c r="H132" s="948"/>
      <c r="I132" s="941">
        <f t="shared" si="18"/>
        <v>1</v>
      </c>
      <c r="J132" s="941"/>
      <c r="K132" s="179"/>
      <c r="L132" s="179"/>
      <c r="M132" s="179"/>
      <c r="N132" s="179"/>
      <c r="O132" s="179"/>
      <c r="P132" s="179"/>
      <c r="Q132" s="179"/>
    </row>
    <row r="133" spans="1:17" ht="13.8">
      <c r="A133" s="179">
        <v>7190</v>
      </c>
      <c r="B133" s="963"/>
      <c r="D133" s="813"/>
      <c r="E133" s="1764"/>
      <c r="F133" s="908"/>
      <c r="G133" s="816">
        <f t="shared" si="19"/>
        <v>0</v>
      </c>
      <c r="H133" s="948"/>
      <c r="I133" s="941">
        <f t="shared" si="18"/>
        <v>1</v>
      </c>
      <c r="J133" s="941"/>
      <c r="K133" s="179"/>
      <c r="L133" s="179"/>
      <c r="M133" s="179"/>
      <c r="N133" s="179"/>
      <c r="O133" s="179"/>
      <c r="P133" s="179"/>
      <c r="Q133" s="179"/>
    </row>
    <row r="134" spans="1:17" ht="13.8">
      <c r="A134" s="179">
        <v>7190</v>
      </c>
      <c r="B134" s="963"/>
      <c r="D134" s="813"/>
      <c r="E134" s="1764"/>
      <c r="F134" s="908"/>
      <c r="G134" s="816">
        <f t="shared" si="19"/>
        <v>0</v>
      </c>
      <c r="H134" s="948"/>
      <c r="I134" s="941">
        <f t="shared" si="18"/>
        <v>1</v>
      </c>
      <c r="J134" s="941"/>
      <c r="K134" s="179"/>
      <c r="L134" s="179"/>
      <c r="M134" s="179"/>
      <c r="N134" s="179"/>
      <c r="O134" s="179"/>
      <c r="P134" s="179"/>
      <c r="Q134" s="179"/>
    </row>
    <row r="135" spans="1:17" ht="13.8">
      <c r="A135" s="179">
        <v>7190</v>
      </c>
      <c r="B135" s="963"/>
      <c r="D135" s="813"/>
      <c r="E135" s="1764"/>
      <c r="F135" s="908"/>
      <c r="G135" s="816">
        <f t="shared" si="19"/>
        <v>0</v>
      </c>
      <c r="H135" s="948"/>
      <c r="I135" s="941">
        <f t="shared" si="18"/>
        <v>1</v>
      </c>
      <c r="J135" s="941"/>
      <c r="K135" s="179"/>
      <c r="L135" s="179"/>
      <c r="M135" s="179"/>
      <c r="N135" s="179"/>
      <c r="O135" s="179"/>
      <c r="P135" s="179"/>
      <c r="Q135" s="179"/>
    </row>
    <row r="136" spans="1:17" ht="13.8">
      <c r="A136" s="179">
        <v>7190</v>
      </c>
      <c r="B136" s="963"/>
      <c r="D136" s="813"/>
      <c r="E136" s="1764"/>
      <c r="F136" s="908"/>
      <c r="G136" s="816">
        <f t="shared" si="19"/>
        <v>0</v>
      </c>
      <c r="H136" s="950"/>
      <c r="I136" s="941">
        <f t="shared" si="18"/>
        <v>1</v>
      </c>
      <c r="J136" s="941"/>
      <c r="K136" s="179"/>
      <c r="L136" s="179"/>
      <c r="M136" s="179"/>
      <c r="N136" s="179"/>
      <c r="O136" s="179"/>
      <c r="P136" s="179"/>
      <c r="Q136" s="179"/>
    </row>
    <row r="137" spans="1:17" ht="13.8">
      <c r="A137" s="179"/>
      <c r="B137" s="179"/>
      <c r="D137" s="813" t="s">
        <v>1227</v>
      </c>
      <c r="E137" s="820">
        <f>SUM(E127:E136)</f>
        <v>0</v>
      </c>
      <c r="F137" s="820">
        <f>SUM(F127:F136)</f>
        <v>0</v>
      </c>
      <c r="G137" s="820">
        <f>SUM(G127:G136)</f>
        <v>0</v>
      </c>
      <c r="I137" s="941">
        <f>IF(E145&lt;&gt;0,0,1)</f>
        <v>1</v>
      </c>
      <c r="J137" s="935"/>
      <c r="K137" s="179"/>
      <c r="L137" s="179"/>
      <c r="M137" s="179"/>
      <c r="N137" s="179"/>
      <c r="O137" s="179"/>
      <c r="P137" s="179"/>
      <c r="Q137" s="179"/>
    </row>
    <row r="138" spans="1:17" ht="13.8">
      <c r="A138" s="179"/>
      <c r="B138" s="179"/>
      <c r="D138" s="813"/>
      <c r="E138" s="903"/>
      <c r="H138" s="950"/>
      <c r="I138" s="941">
        <f>IF(E146&lt;&gt;0,0,1)</f>
        <v>1</v>
      </c>
      <c r="K138" s="179"/>
      <c r="L138" s="179"/>
      <c r="M138" s="179"/>
      <c r="N138" s="179"/>
      <c r="O138" s="179"/>
      <c r="P138" s="179"/>
      <c r="Q138" s="179"/>
    </row>
    <row r="139" spans="1:17" ht="13.8">
      <c r="A139" s="179">
        <v>3250</v>
      </c>
      <c r="B139" s="814" t="s">
        <v>1228</v>
      </c>
      <c r="D139" s="813"/>
      <c r="E139" s="903">
        <f>E124-E137</f>
        <v>0</v>
      </c>
      <c r="F139" s="903">
        <f>F124-F137</f>
        <v>0</v>
      </c>
      <c r="G139" s="903">
        <f>G124-G137</f>
        <v>0</v>
      </c>
      <c r="H139" s="950"/>
      <c r="I139" s="941">
        <f>SUM(I28,I127:I138,I122:I123,I109:I114)</f>
        <v>12</v>
      </c>
      <c r="J139" s="942" t="s">
        <v>1409</v>
      </c>
      <c r="K139" s="179"/>
      <c r="L139" s="179"/>
      <c r="M139" s="179"/>
      <c r="N139" s="179"/>
      <c r="O139" s="179"/>
      <c r="P139" s="179"/>
      <c r="Q139" s="179"/>
    </row>
    <row r="140" spans="1:17" ht="14.4">
      <c r="A140" s="179"/>
      <c r="B140" s="964" t="s">
        <v>1275</v>
      </c>
      <c r="D140" s="813"/>
      <c r="E140" s="903"/>
      <c r="F140" s="903"/>
      <c r="G140" s="903"/>
      <c r="K140" s="179"/>
      <c r="L140" s="179"/>
      <c r="M140" s="179"/>
      <c r="N140" s="179"/>
      <c r="O140" s="179"/>
      <c r="P140" s="179"/>
      <c r="Q140" s="179"/>
    </row>
    <row r="141" spans="1:17" ht="13.8">
      <c r="K141" s="179"/>
      <c r="L141" s="179"/>
      <c r="M141" s="179"/>
      <c r="N141" s="179"/>
      <c r="O141" s="179"/>
      <c r="P141" s="179"/>
      <c r="Q141" s="179"/>
    </row>
    <row r="142" spans="1:17" ht="13.8" hidden="1">
      <c r="A142" s="898" t="s">
        <v>1214</v>
      </c>
      <c r="D142" s="714" t="s">
        <v>1230</v>
      </c>
      <c r="F142" s="714"/>
      <c r="H142" s="952"/>
      <c r="I142" s="939"/>
      <c r="J142" s="939"/>
      <c r="K142" s="179"/>
      <c r="L142" s="179"/>
      <c r="M142" s="179"/>
      <c r="N142" s="179"/>
      <c r="O142" s="179"/>
      <c r="P142" s="179"/>
      <c r="Q142" s="179"/>
    </row>
    <row r="143" spans="1:17" ht="13.8" hidden="1">
      <c r="A143" s="899"/>
      <c r="D143" s="807" t="s">
        <v>475</v>
      </c>
      <c r="E143" s="829">
        <f>ROUND(E33-'2.Fiscal'!J46-E28,0)</f>
        <v>0</v>
      </c>
      <c r="F143" s="829">
        <f>ROUND(F33-'2.Fiscal'!L46-F28,0)</f>
        <v>0</v>
      </c>
      <c r="G143" s="829">
        <f>ROUND(G33-'2.Fiscal'!N46-G28,0)</f>
        <v>0</v>
      </c>
      <c r="H143" s="952"/>
      <c r="I143" s="939"/>
      <c r="J143" s="939"/>
      <c r="K143" s="179"/>
      <c r="L143" s="179"/>
      <c r="M143" s="179"/>
      <c r="N143" s="179"/>
      <c r="O143" s="179"/>
      <c r="P143" s="179"/>
      <c r="Q143" s="179"/>
    </row>
    <row r="144" spans="1:17" ht="13.8" hidden="1">
      <c r="A144" s="899"/>
      <c r="D144" s="807" t="s">
        <v>1180</v>
      </c>
      <c r="E144" s="829">
        <f>ROUND(E105-'2.Fiscal'!J104,0)</f>
        <v>0</v>
      </c>
      <c r="F144" s="829">
        <f>ROUND(F105-'2.Fiscal'!L104,0)</f>
        <v>0</v>
      </c>
      <c r="G144" s="829">
        <f>ROUND(G105-'2.Fiscal'!N104,0)</f>
        <v>0</v>
      </c>
      <c r="H144" s="952"/>
      <c r="I144" s="939"/>
      <c r="J144" s="939"/>
      <c r="K144" s="179"/>
      <c r="L144" s="179"/>
      <c r="M144" s="970" t="s">
        <v>1347</v>
      </c>
      <c r="N144" s="179"/>
      <c r="O144" s="179"/>
      <c r="P144" s="179"/>
      <c r="Q144" s="179"/>
    </row>
    <row r="145" spans="1:17" ht="13.8" hidden="1">
      <c r="A145" s="899"/>
      <c r="D145" s="807" t="s">
        <v>1181</v>
      </c>
      <c r="E145" s="829">
        <f>ROUND(Q49-('2.Fiscal'!J140-'2.Fiscal'!J156),0)</f>
        <v>0</v>
      </c>
      <c r="F145" s="829">
        <f>ROUND(R49-('2.Fiscal'!L140-'2.Fiscal'!L156),0)</f>
        <v>0</v>
      </c>
      <c r="G145" s="829">
        <f>ROUND(S49-('2.Fiscal'!N140-'2.Fiscal'!N156),0)</f>
        <v>0</v>
      </c>
      <c r="H145" s="952"/>
      <c r="I145" s="939"/>
      <c r="J145" s="939"/>
      <c r="K145" s="179"/>
      <c r="L145" s="179"/>
      <c r="M145" s="970" t="s">
        <v>1348</v>
      </c>
      <c r="N145" s="179"/>
      <c r="O145" s="179"/>
      <c r="P145" s="179"/>
      <c r="Q145" s="179"/>
    </row>
    <row r="146" spans="1:17" ht="13.8" hidden="1">
      <c r="A146" s="899"/>
      <c r="D146" s="807" t="s">
        <v>1182</v>
      </c>
      <c r="E146" s="939">
        <f>ROUND(Q60-'2.Fiscal'!J166,0)</f>
        <v>0</v>
      </c>
      <c r="F146" s="939">
        <f>ROUND(R60-'2.Fiscal'!L166,0)</f>
        <v>0</v>
      </c>
      <c r="G146" s="939">
        <f>ROUND(S60-'2.Fiscal'!N166,0)</f>
        <v>0</v>
      </c>
      <c r="H146" s="952"/>
      <c r="I146" s="939"/>
      <c r="J146" s="939"/>
      <c r="M146" s="971">
        <v>1</v>
      </c>
    </row>
    <row r="147" spans="1:17" ht="13.8" hidden="1">
      <c r="A147" s="899"/>
      <c r="D147" s="830" t="s">
        <v>1183</v>
      </c>
      <c r="E147" s="939">
        <f>ROUND(Q65-('2.Fiscal'!J166+'2.Fiscal'!J171+'2.Fiscal'!J172),0)</f>
        <v>0</v>
      </c>
      <c r="F147" s="939">
        <f>ROUND(R65-('2.Fiscal'!L166+'2.Fiscal'!L172),0)</f>
        <v>0</v>
      </c>
      <c r="G147" s="939">
        <f>ROUND(S65-('2.Fiscal'!N166+'2.Fiscal'!N171),0)</f>
        <v>0</v>
      </c>
      <c r="M147" s="971">
        <f>M146+1</f>
        <v>2</v>
      </c>
    </row>
    <row r="148" spans="1:17" ht="39.75" hidden="1" customHeight="1">
      <c r="H148" s="953"/>
      <c r="I148" s="940"/>
      <c r="J148" s="940"/>
      <c r="M148" s="971">
        <f t="shared" ref="M148:M160" si="20">M147+1</f>
        <v>3</v>
      </c>
    </row>
    <row r="149" spans="1:17" ht="57.75" hidden="1" customHeight="1">
      <c r="B149" s="2214" t="s">
        <v>1231</v>
      </c>
      <c r="C149" s="2214"/>
      <c r="D149" s="2214"/>
      <c r="E149" s="2214"/>
      <c r="F149" s="2214"/>
      <c r="G149" s="2214"/>
      <c r="M149" s="971">
        <f t="shared" si="20"/>
        <v>4</v>
      </c>
    </row>
    <row r="150" spans="1:17" ht="13.8" hidden="1">
      <c r="M150" s="971">
        <f t="shared" si="20"/>
        <v>5</v>
      </c>
    </row>
    <row r="151" spans="1:17" ht="13.8" hidden="1">
      <c r="M151" s="971">
        <f t="shared" si="20"/>
        <v>6</v>
      </c>
    </row>
    <row r="152" spans="1:17" ht="13.8" hidden="1">
      <c r="M152" s="971">
        <f t="shared" si="20"/>
        <v>7</v>
      </c>
    </row>
    <row r="153" spans="1:17" ht="13.8" hidden="1">
      <c r="M153" s="971">
        <f t="shared" si="20"/>
        <v>8</v>
      </c>
    </row>
    <row r="154" spans="1:17" ht="13.8" hidden="1">
      <c r="M154" s="971">
        <f t="shared" si="20"/>
        <v>9</v>
      </c>
    </row>
    <row r="155" spans="1:17" ht="13.8" hidden="1">
      <c r="M155" s="971">
        <f t="shared" si="20"/>
        <v>10</v>
      </c>
    </row>
    <row r="156" spans="1:17" ht="13.8" hidden="1">
      <c r="M156" s="971">
        <f t="shared" si="20"/>
        <v>11</v>
      </c>
    </row>
    <row r="157" spans="1:17" ht="13.8" hidden="1">
      <c r="M157" s="971">
        <f t="shared" si="20"/>
        <v>12</v>
      </c>
    </row>
    <row r="158" spans="1:17" ht="13.8" hidden="1">
      <c r="M158" s="971">
        <f t="shared" si="20"/>
        <v>13</v>
      </c>
    </row>
    <row r="159" spans="1:17" ht="13.8" hidden="1">
      <c r="M159" s="971">
        <f t="shared" si="20"/>
        <v>14</v>
      </c>
    </row>
    <row r="160" spans="1:17" ht="13.8" hidden="1">
      <c r="M160" s="971">
        <f t="shared" si="20"/>
        <v>15</v>
      </c>
    </row>
  </sheetData>
  <sheetProtection algorithmName="SHA-512" hashValue="XwK3ORNyX2cTqEH4EHbcFjQQhK/nmw7EnM+TWWwIm/P3kK7JR8zdSfsragc6vkG5AFOzSAB86Mez+S8V0gPgVQ==" saltValue="/NTXiDM1SfxPZs56VdpeSw==" spinCount="100000" sheet="1" objects="1" scenarios="1"/>
  <customSheetViews>
    <customSheetView guid="{BE27EBD8-ED47-4D05-A191-2893A8781B62}" hiddenRows="1" topLeftCell="A9">
      <selection activeCell="B25" sqref="B25"/>
      <rowBreaks count="2" manualBreakCount="2">
        <brk id="37" max="4" man="1"/>
        <brk id="85" max="4" man="1"/>
      </rowBreaks>
      <pageMargins left="0.7" right="0.7" top="0.75" bottom="0.75" header="0.3" footer="0.3"/>
      <pageSetup scale="80" orientation="portrait" r:id="rId1"/>
    </customSheetView>
  </customSheetViews>
  <mergeCells count="6">
    <mergeCell ref="W19:AA21"/>
    <mergeCell ref="B149:G149"/>
    <mergeCell ref="B126:E126"/>
    <mergeCell ref="B108:E108"/>
    <mergeCell ref="B121:E121"/>
    <mergeCell ref="U19:V21"/>
  </mergeCells>
  <dataValidations count="1">
    <dataValidation type="list" operator="lessThanOrEqual" allowBlank="1" showInputMessage="1" showErrorMessage="1" error="numbers only in this field!" sqref="K39:K48 K55:K59">
      <formula1>$M$146:$M$160</formula1>
    </dataValidation>
  </dataValidations>
  <pageMargins left="0.7" right="0.7" top="0.75" bottom="0.75" header="0.3" footer="0.3"/>
  <pageSetup scale="77" orientation="portrait" r:id="rId2"/>
  <rowBreaks count="2" manualBreakCount="2">
    <brk id="35" max="6" man="1"/>
    <brk id="84" max="6" man="1"/>
  </rowBreaks>
  <extLst>
    <ext xmlns:x14="http://schemas.microsoft.com/office/spreadsheetml/2009/9/main" uri="{78C0D931-6437-407d-A8EE-F0AAD7539E65}">
      <x14:conditionalFormattings>
        <x14:conditionalFormatting xmlns:xm="http://schemas.microsoft.com/office/excel/2006/main">
          <x14:cfRule type="notContainsText" priority="1" operator="notContains" id="{A2043961-9EFA-49F7-AFE5-AF87FABCF63A}">
            <xm:f>ISERROR(SEARCH("Incomplete",W19))</xm:f>
            <xm:f>"Incomplete"</xm:f>
            <x14:dxf>
              <fill>
                <patternFill>
                  <bgColor rgb="FF92D050"/>
                </patternFill>
              </fill>
            </x14:dxf>
          </x14:cfRule>
          <x14:cfRule type="containsText" priority="2" operator="containsText" id="{05E1E37D-26A2-4CBB-AAB7-2241D45EE25C}">
            <xm:f>NOT(ISERROR(SEARCH("Incomplete",W19)))</xm:f>
            <xm:f>"Incomplete"</xm:f>
            <x14:dxf>
              <font>
                <color theme="0"/>
              </font>
              <fill>
                <patternFill>
                  <bgColor rgb="FFC00000"/>
                </patternFill>
              </fill>
            </x14:dxf>
          </x14:cfRule>
          <xm:sqref>W19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Q76"/>
  <sheetViews>
    <sheetView showGridLines="0" topLeftCell="B7" zoomScaleNormal="100" workbookViewId="0">
      <selection sqref="A1:A1048576"/>
    </sheetView>
  </sheetViews>
  <sheetFormatPr defaultColWidth="0" defaultRowHeight="13.2"/>
  <cols>
    <col min="1" max="1" width="9.109375" hidden="1" customWidth="1"/>
    <col min="2" max="2" width="32" customWidth="1"/>
    <col min="3" max="3" width="19.5546875" customWidth="1"/>
    <col min="4" max="4" width="33.33203125" customWidth="1"/>
    <col min="5" max="5" width="19.88671875" customWidth="1"/>
    <col min="6" max="6" width="23.33203125" customWidth="1"/>
    <col min="7" max="7" width="60.109375" customWidth="1"/>
    <col min="8" max="13" width="9.109375" hidden="1" customWidth="1"/>
    <col min="14" max="14" width="30.109375" hidden="1" customWidth="1"/>
    <col min="15" max="15" width="48.44140625" hidden="1" customWidth="1"/>
    <col min="16" max="16384" width="4.5546875" hidden="1"/>
  </cols>
  <sheetData>
    <row r="1" spans="2:13" ht="21">
      <c r="B1" s="722" t="str">
        <f>$O$23&amp;" "&amp;O27&amp;" - "&amp;$O$24</f>
        <v xml:space="preserve">Annual Monitoring Report - Completeness Tracker - Reporting Year 2018 - </v>
      </c>
      <c r="C1" s="723"/>
      <c r="D1" s="723"/>
      <c r="E1" s="723"/>
      <c r="F1" s="723"/>
      <c r="G1" s="723"/>
      <c r="H1" s="724"/>
      <c r="I1" s="15"/>
      <c r="J1" s="15"/>
      <c r="K1" s="15"/>
      <c r="L1" s="15"/>
      <c r="M1" s="15"/>
    </row>
    <row r="2" spans="2:13" ht="21">
      <c r="B2" s="725" t="str">
        <f>$O$39</f>
        <v>Mayor's Office of Housing &amp; Community Development</v>
      </c>
      <c r="C2" s="726"/>
      <c r="D2" s="726"/>
      <c r="E2" s="726"/>
      <c r="F2" s="726"/>
      <c r="G2" s="726"/>
      <c r="H2" s="727"/>
      <c r="I2" s="15"/>
      <c r="J2" s="15"/>
      <c r="K2" s="15"/>
      <c r="L2" s="15"/>
      <c r="M2" s="15"/>
    </row>
    <row r="3" spans="2:13" ht="17.25" customHeight="1">
      <c r="C3" s="310"/>
      <c r="D3" s="21"/>
      <c r="E3" s="21"/>
      <c r="F3" s="17"/>
      <c r="G3" s="17"/>
      <c r="H3" s="15"/>
      <c r="I3" s="15"/>
      <c r="J3" s="15"/>
      <c r="K3" s="15"/>
      <c r="L3" s="15"/>
      <c r="M3" s="15"/>
    </row>
    <row r="4" spans="2:13" ht="18.75" customHeight="1">
      <c r="B4" s="1406"/>
      <c r="C4" s="1406"/>
      <c r="D4" s="1406"/>
      <c r="E4" s="1406"/>
      <c r="F4" s="1406"/>
      <c r="G4" s="1406"/>
      <c r="H4" s="1406"/>
      <c r="I4" s="2222"/>
      <c r="J4" s="2222"/>
      <c r="K4" s="2222"/>
      <c r="L4" s="15"/>
      <c r="M4" s="15"/>
    </row>
    <row r="5" spans="2:13" s="2" customFormat="1" ht="51" customHeight="1">
      <c r="B5" s="2220" t="s">
        <v>776</v>
      </c>
      <c r="C5" s="2221"/>
      <c r="D5" s="2221"/>
      <c r="E5" s="2221"/>
      <c r="F5" s="2221"/>
      <c r="G5" s="2221"/>
      <c r="H5" s="10"/>
      <c r="I5" s="10"/>
      <c r="J5" s="10"/>
      <c r="K5" s="10"/>
      <c r="L5" s="10"/>
      <c r="M5" s="10"/>
    </row>
    <row r="6" spans="2:13" s="2" customFormat="1" ht="21.75" customHeight="1">
      <c r="B6" s="25" t="s">
        <v>1103</v>
      </c>
      <c r="C6" s="20"/>
      <c r="D6" s="461">
        <f>' 1A.Prop&amp;Residents'!G12</f>
        <v>0</v>
      </c>
      <c r="E6" s="789"/>
      <c r="F6" s="790" t="s">
        <v>355</v>
      </c>
      <c r="G6" s="791" t="str">
        <f>' 1A.Prop&amp;Residents'!S9</f>
        <v/>
      </c>
      <c r="H6" s="311"/>
      <c r="I6" s="10"/>
      <c r="J6" s="10"/>
      <c r="K6" s="10"/>
      <c r="L6" s="10"/>
      <c r="M6" s="10"/>
    </row>
    <row r="7" spans="2:13" ht="17.399999999999999">
      <c r="B7" s="25" t="s">
        <v>1104</v>
      </c>
      <c r="D7" s="461">
        <f>' 1A.Prop&amp;Residents'!G13</f>
        <v>0</v>
      </c>
      <c r="F7" s="593"/>
      <c r="G7" s="593"/>
      <c r="H7" s="311"/>
      <c r="I7" s="3"/>
      <c r="J7" s="3"/>
      <c r="K7" s="3"/>
    </row>
    <row r="8" spans="2:13" ht="18.75" customHeight="1">
      <c r="C8" s="14"/>
      <c r="D8" s="14"/>
      <c r="H8" s="101" t="s">
        <v>186</v>
      </c>
      <c r="K8" s="3"/>
    </row>
    <row r="9" spans="2:13" ht="17.399999999999999">
      <c r="C9" s="14"/>
      <c r="D9" s="14"/>
      <c r="E9" s="14"/>
      <c r="F9" s="24"/>
      <c r="G9" s="23"/>
      <c r="H9" s="101" t="s">
        <v>187</v>
      </c>
    </row>
    <row r="10" spans="2:13" ht="18" customHeight="1">
      <c r="B10" s="1735" t="s">
        <v>1413</v>
      </c>
      <c r="C10" s="1736"/>
      <c r="D10" s="1736"/>
      <c r="E10" s="1736"/>
      <c r="F10" s="1736"/>
      <c r="G10" s="1737"/>
    </row>
    <row r="11" spans="2:13" ht="18" customHeight="1">
      <c r="B11" s="1224" t="s">
        <v>1414</v>
      </c>
      <c r="C11" s="1222"/>
      <c r="D11" s="1222"/>
      <c r="E11" s="1222"/>
      <c r="F11" s="1222"/>
      <c r="G11" s="1223"/>
    </row>
    <row r="12" spans="2:13" ht="18" customHeight="1">
      <c r="B12" s="1224" t="s">
        <v>1480</v>
      </c>
      <c r="C12" s="1222"/>
      <c r="D12" s="1222"/>
      <c r="E12" s="1222"/>
      <c r="F12" s="1222"/>
      <c r="G12" s="1223"/>
    </row>
    <row r="13" spans="2:13" ht="25.5" customHeight="1">
      <c r="B13" s="1738" t="s">
        <v>1415</v>
      </c>
      <c r="C13" s="1222"/>
      <c r="D13" s="1222"/>
      <c r="E13" s="1222"/>
      <c r="F13" s="1222"/>
      <c r="G13" s="1223"/>
    </row>
    <row r="14" spans="2:13" ht="17.399999999999999">
      <c r="B14" s="1224" t="s">
        <v>2528</v>
      </c>
      <c r="C14" s="1222"/>
      <c r="D14" s="1222"/>
      <c r="E14" s="1222"/>
      <c r="F14" s="1222"/>
      <c r="G14" s="1223"/>
    </row>
    <row r="15" spans="2:13" ht="17.399999999999999">
      <c r="B15" s="1224" t="s">
        <v>2529</v>
      </c>
      <c r="C15" s="1222"/>
      <c r="D15" s="1222"/>
      <c r="E15" s="1222"/>
      <c r="F15" s="1222"/>
      <c r="G15" s="1223"/>
    </row>
    <row r="16" spans="2:13" ht="17.399999999999999">
      <c r="B16" s="1224" t="s">
        <v>2530</v>
      </c>
      <c r="C16" s="1222"/>
      <c r="D16" s="1222"/>
      <c r="E16" s="1222"/>
      <c r="F16" s="1222"/>
      <c r="G16" s="1223"/>
    </row>
    <row r="17" spans="2:16" ht="17.399999999999999">
      <c r="B17" s="1224" t="s">
        <v>2531</v>
      </c>
      <c r="C17" s="1222"/>
      <c r="D17" s="1222"/>
      <c r="E17" s="1222"/>
      <c r="F17" s="1222"/>
      <c r="G17" s="1223"/>
    </row>
    <row r="18" spans="2:16" ht="17.399999999999999">
      <c r="B18" s="1224" t="s">
        <v>2532</v>
      </c>
      <c r="C18" s="1222"/>
      <c r="D18" s="1222"/>
      <c r="E18" s="1222"/>
      <c r="F18" s="1222"/>
      <c r="G18" s="1223"/>
    </row>
    <row r="19" spans="2:16" ht="17.399999999999999">
      <c r="B19" s="1224" t="s">
        <v>2533</v>
      </c>
      <c r="C19" s="1222"/>
      <c r="D19" s="1222"/>
      <c r="E19" s="1222"/>
      <c r="F19" s="1222"/>
      <c r="G19" s="1223"/>
    </row>
    <row r="20" spans="2:16" ht="25.5" customHeight="1">
      <c r="B20" s="1732" t="s">
        <v>2534</v>
      </c>
      <c r="C20" s="1733"/>
      <c r="D20" s="1733"/>
      <c r="E20" s="1733"/>
      <c r="F20" s="1733"/>
      <c r="G20" s="1734"/>
    </row>
    <row r="21" spans="2:16" ht="17.399999999999999">
      <c r="B21" s="284"/>
      <c r="C21" s="284"/>
      <c r="D21" s="284"/>
      <c r="E21" s="284"/>
      <c r="F21" s="284"/>
      <c r="G21" s="284"/>
    </row>
    <row r="22" spans="2:16" ht="15.6">
      <c r="B22" s="19"/>
      <c r="C22" s="773" t="str">
        <f>$P$28&amp;" "&amp;$O$28</f>
        <v>Worksheet 1A. Property &amp; Residents</v>
      </c>
      <c r="D22" s="282"/>
      <c r="E22" s="2217" t="str">
        <f>IF(ISNUMBER(MATCH("incomplete",$F$23:F$27,0)),"INCOMPLETE","COMPLETED")</f>
        <v>INCOMPLETE</v>
      </c>
      <c r="F22" s="2217"/>
      <c r="O22" s="420" t="s">
        <v>815</v>
      </c>
    </row>
    <row r="23" spans="2:16">
      <c r="D23" s="772" t="s">
        <v>1077</v>
      </c>
      <c r="E23" s="283" t="str">
        <f>' 1A.Prop&amp;Residents'!P12</f>
        <v>1 thru 4</v>
      </c>
      <c r="F23" s="878" t="str">
        <f>' 1A.Prop&amp;Residents'!Q12</f>
        <v>incomplete</v>
      </c>
      <c r="N23" s="549" t="s">
        <v>811</v>
      </c>
      <c r="O23" s="716" t="s">
        <v>810</v>
      </c>
    </row>
    <row r="24" spans="2:16">
      <c r="D24" s="386" t="str">
        <f t="shared" ref="D24:D25" si="0">D23</f>
        <v>Questions</v>
      </c>
      <c r="E24" s="283" t="str">
        <f>' 1A.Prop&amp;Residents'!P13</f>
        <v>5 thru 24</v>
      </c>
      <c r="F24" s="878" t="str">
        <f>' 1A.Prop&amp;Residents'!Q13</f>
        <v>incomplete</v>
      </c>
      <c r="N24" s="549" t="s">
        <v>812</v>
      </c>
      <c r="O24" s="1631" t="str">
        <f>"Reporting Year "&amp;$O$40&amp;" - "</f>
        <v xml:space="preserve">Reporting Year 2018 - </v>
      </c>
    </row>
    <row r="25" spans="2:16">
      <c r="D25" s="386" t="str">
        <f t="shared" si="0"/>
        <v>Questions</v>
      </c>
      <c r="E25" s="283" t="str">
        <f>' 1A.Prop&amp;Residents'!P14</f>
        <v>25 thru 39</v>
      </c>
      <c r="F25" s="878" t="str">
        <f>' 1A.Prop&amp;Residents'!Q14</f>
        <v>incomplete</v>
      </c>
      <c r="N25" s="714" t="s">
        <v>813</v>
      </c>
      <c r="O25" s="411"/>
    </row>
    <row r="26" spans="2:16">
      <c r="D26" s="386" t="str">
        <f>D25</f>
        <v>Questions</v>
      </c>
      <c r="E26" s="283" t="str">
        <f>' 1A.Prop&amp;Residents'!P15</f>
        <v>40 thru 46</v>
      </c>
      <c r="F26" s="878" t="str">
        <f>' 1A.Prop&amp;Residents'!Q15</f>
        <v>incomplete</v>
      </c>
      <c r="N26" s="713" t="s">
        <v>814</v>
      </c>
      <c r="O26" s="410" t="s">
        <v>814</v>
      </c>
    </row>
    <row r="27" spans="2:16">
      <c r="B27" s="19"/>
      <c r="D27" s="484" t="str">
        <f>D25</f>
        <v>Questions</v>
      </c>
      <c r="E27" s="283" t="str">
        <f>' 1A.Prop&amp;Residents'!P16</f>
        <v>51 thru 57</v>
      </c>
      <c r="F27" s="878" t="str">
        <f>' 1A.Prop&amp;Residents'!Q16</f>
        <v>incomplete</v>
      </c>
      <c r="N27" s="713" t="s">
        <v>1099</v>
      </c>
      <c r="O27" s="410" t="s">
        <v>1098</v>
      </c>
    </row>
    <row r="28" spans="2:16">
      <c r="B28" s="19"/>
      <c r="N28" s="713" t="s">
        <v>817</v>
      </c>
      <c r="O28" s="410" t="s">
        <v>816</v>
      </c>
      <c r="P28" s="420" t="s">
        <v>1255</v>
      </c>
    </row>
    <row r="29" spans="2:16" ht="15.6">
      <c r="B29" s="19"/>
      <c r="C29" s="773" t="str">
        <f>$P$29&amp;" "&amp;$O$29</f>
        <v>Worksheet 1B. Transitional Programs</v>
      </c>
      <c r="D29" s="282"/>
      <c r="E29" s="2217" t="str">
        <f>IF(' 1A.Prop&amp;Residents'!$G$38="","To Be Determined",IF(' 1A.Prop&amp;Residents'!$G$38="no","Not Required",IF(ISNUMBER(MATCH("incomplete",$F$30:F$32,0)),"INCOMPLETE","COMPLETED")))</f>
        <v>To Be Determined</v>
      </c>
      <c r="F29" s="2217"/>
      <c r="N29" s="713" t="s">
        <v>818</v>
      </c>
      <c r="O29" s="410" t="s">
        <v>823</v>
      </c>
      <c r="P29" s="420" t="s">
        <v>1256</v>
      </c>
    </row>
    <row r="30" spans="2:16">
      <c r="B30" s="19"/>
      <c r="C30" s="1"/>
      <c r="D30" s="772" t="s">
        <v>1077</v>
      </c>
      <c r="E30" s="879" t="str">
        <f>'1B.TransitionalProg'!$E$20</f>
        <v>1 thru 11</v>
      </c>
      <c r="F30" s="878" t="str">
        <f>IF(' 1A.Prop&amp;Residents'!$G$38="","To Be Determined",IF(' 1A.Prop&amp;Residents'!$G$38="yes",'1B.TransitionalProg'!D20,"Not Required"))</f>
        <v>To Be Determined</v>
      </c>
      <c r="N30" s="713" t="s">
        <v>819</v>
      </c>
      <c r="O30" s="410" t="s">
        <v>824</v>
      </c>
      <c r="P30" s="420" t="s">
        <v>1257</v>
      </c>
    </row>
    <row r="31" spans="2:16">
      <c r="B31" s="19"/>
      <c r="C31" s="1"/>
      <c r="D31" s="772" t="str">
        <f>D30</f>
        <v>Questions</v>
      </c>
      <c r="E31" s="879" t="str">
        <f>'1B.TransitionalProg'!$E$27</f>
        <v>12 thru 18</v>
      </c>
      <c r="F31" s="878" t="str">
        <f>IF(' 1A.Prop&amp;Residents'!$G$38="","To Be Determined",IF(' 1A.Prop&amp;Residents'!$G$38="yes",'1B.TransitionalProg'!D27,"Not Required"))</f>
        <v>To Be Determined</v>
      </c>
      <c r="N31" s="713" t="s">
        <v>825</v>
      </c>
      <c r="O31" s="410" t="s">
        <v>826</v>
      </c>
      <c r="P31" s="420" t="s">
        <v>1258</v>
      </c>
    </row>
    <row r="32" spans="2:16">
      <c r="B32" s="19"/>
      <c r="C32" s="1"/>
      <c r="D32" s="772" t="str">
        <f>D31</f>
        <v>Questions</v>
      </c>
      <c r="E32" s="879" t="str">
        <f>'1B.TransitionalProg'!$E$51</f>
        <v>19 thru 39</v>
      </c>
      <c r="F32" s="878" t="str">
        <f>IF(' 1A.Prop&amp;Residents'!$G$38="","To Be Determined",IF(' 1A.Prop&amp;Residents'!$G$38="yes",'1B.TransitionalProg'!D51,"Not Required"))</f>
        <v>To Be Determined</v>
      </c>
      <c r="N32" s="713" t="s">
        <v>1435</v>
      </c>
      <c r="O32" s="410" t="s">
        <v>827</v>
      </c>
      <c r="P32" s="420" t="s">
        <v>1437</v>
      </c>
    </row>
    <row r="33" spans="2:17">
      <c r="B33" s="19"/>
      <c r="C33" s="1"/>
      <c r="D33" s="420"/>
      <c r="E33" s="420"/>
      <c r="F33" s="420"/>
      <c r="N33" s="713" t="s">
        <v>1436</v>
      </c>
      <c r="O33" s="410" t="s">
        <v>1438</v>
      </c>
      <c r="P33" s="420" t="s">
        <v>1479</v>
      </c>
    </row>
    <row r="34" spans="2:17" ht="15.6">
      <c r="B34" s="19"/>
      <c r="C34" s="773" t="str">
        <f>$P$30&amp;" "&amp;$O$30</f>
        <v>Worksheet 1C. Eviction Data</v>
      </c>
      <c r="D34" s="282"/>
      <c r="E34" s="2217" t="str">
        <f>IF(' 1A.Prop&amp;Residents'!$G$38="","To Be Determined",IF(' 1A.Prop&amp;Residents'!$G$38="yes","Not Required",'1C.Eviction'!$B$70))</f>
        <v>To Be Determined</v>
      </c>
      <c r="F34" s="2217"/>
      <c r="N34" s="713" t="s">
        <v>1499</v>
      </c>
      <c r="O34" s="410" t="s">
        <v>1477</v>
      </c>
      <c r="P34" s="420" t="s">
        <v>1478</v>
      </c>
    </row>
    <row r="35" spans="2:17" s="19" customFormat="1" ht="30" customHeight="1">
      <c r="C35" s="775"/>
      <c r="D35" s="772" t="s">
        <v>1078</v>
      </c>
      <c r="E35" s="880">
        <v>1</v>
      </c>
      <c r="F35" s="881" t="str">
        <f>IF(' 1A.Prop&amp;Residents'!$G$38="","To Be Determined",IF(' 1A.Prop&amp;Residents'!$G$38="yes","Not Required",'1C.Eviction'!$B$7))</f>
        <v>To Be Determined</v>
      </c>
      <c r="N35" s="713" t="s">
        <v>820</v>
      </c>
      <c r="O35" s="410" t="s">
        <v>33</v>
      </c>
      <c r="P35" s="420" t="s">
        <v>1259</v>
      </c>
      <c r="Q35"/>
    </row>
    <row r="36" spans="2:17" s="19" customFormat="1" ht="30" customHeight="1">
      <c r="C36" s="775"/>
      <c r="D36" s="888" t="s">
        <v>1077</v>
      </c>
      <c r="E36" s="880" t="s">
        <v>1193</v>
      </c>
      <c r="F36" s="881" t="str">
        <f>IF(' 1A.Prop&amp;Residents'!$G$38="","To Be Determined",IF(' 1A.Prop&amp;Residents'!$G$38="yes","Not Required",IF(SUM('1C.Eviction'!$A$10:$A$28)&lt;&gt;19,"To Be Determined",IF(AND('1C.Eviction'!$E$29&gt;='1C.Eviction'!$E$51,'1C.Eviction'!$E$29&gt;='1C.Eviction'!$E$73),"OK","# of Notices of Evictions should be &gt;= # Unlawful Detainers and # Evictions"))))</f>
        <v>To Be Determined</v>
      </c>
      <c r="N36" s="713" t="s">
        <v>821</v>
      </c>
      <c r="O36" s="410" t="s">
        <v>828</v>
      </c>
      <c r="P36" s="420" t="s">
        <v>1260</v>
      </c>
      <c r="Q36"/>
    </row>
    <row r="37" spans="2:17" s="19" customFormat="1" ht="30" customHeight="1">
      <c r="C37" s="775"/>
      <c r="D37" s="888" t="s">
        <v>1077</v>
      </c>
      <c r="E37" s="880" t="s">
        <v>1588</v>
      </c>
      <c r="F37" s="881" t="str">
        <f>IF(' 1A.Prop&amp;Residents'!$G$38="","To Be Determined",IF(' 1A.Prop&amp;Residents'!$G$38="yes","Not Required",IF(SUM('1C.Eviction'!$A$32:$A$50)&lt;&gt;19,"To Be Determined",IF(AND('1C.Eviction'!$E$29&gt;='1C.Eviction'!$E$51,'1C.Eviction'!$E$51&gt;='1C.Eviction'!$E$73),"OK","# of Unlawful Detainers should be &lt;= # Evictions and &gt;= # of Notices of Evictions"))))</f>
        <v>To Be Determined</v>
      </c>
      <c r="N37" s="713" t="s">
        <v>822</v>
      </c>
      <c r="O37" s="410" t="s">
        <v>384</v>
      </c>
      <c r="P37" s="420" t="s">
        <v>1261</v>
      </c>
      <c r="Q37"/>
    </row>
    <row r="38" spans="2:17" s="19" customFormat="1" ht="30" customHeight="1">
      <c r="C38" s="775"/>
      <c r="D38" s="888" t="s">
        <v>1077</v>
      </c>
      <c r="E38" s="880" t="s">
        <v>1589</v>
      </c>
      <c r="F38" s="881" t="str">
        <f>IF(' 1A.Prop&amp;Residents'!$G$38="","To Be Determined",IF(' 1A.Prop&amp;Residents'!$G$38="yes","Not Required",IF(SUM('1C.Eviction'!$A$54:$A$72)&lt;&gt;19,"To Be Determined",IF(AND('1C.Eviction'!$E$29&gt;='1C.Eviction'!$E$73,'1C.Eviction'!$E$51&gt;='1C.Eviction'!$E$73),"OK","# of Evictions should be &gt;= # of Eviction Notices and # Unlawful Detainers"))))</f>
        <v>To Be Determined</v>
      </c>
      <c r="N38" s="713" t="s">
        <v>1505</v>
      </c>
      <c r="O38" s="410" t="s">
        <v>1324</v>
      </c>
      <c r="P38" s="420" t="s">
        <v>1262</v>
      </c>
      <c r="Q38"/>
    </row>
    <row r="39" spans="2:17">
      <c r="B39" s="19"/>
      <c r="C39" s="1"/>
      <c r="D39" s="420"/>
      <c r="E39" s="420"/>
      <c r="F39" s="420"/>
      <c r="N39" s="715" t="s">
        <v>829</v>
      </c>
      <c r="O39" s="410" t="s">
        <v>830</v>
      </c>
      <c r="P39" s="19"/>
      <c r="Q39" s="19"/>
    </row>
    <row r="40" spans="2:17" ht="15.6">
      <c r="B40" s="19"/>
      <c r="C40" s="773" t="str">
        <f>$P$31&amp;" "&amp;$O$31</f>
        <v>Worksheet 2. Fiscal Activity</v>
      </c>
      <c r="D40" s="282"/>
      <c r="E40" s="2217" t="str">
        <f>IF(ISNUMBER(MATCH("incomplete",$F$41:$F$49,0)),"INCOMPLETE","COMPLETED")</f>
        <v>INCOMPLETE</v>
      </c>
      <c r="F40" s="2217"/>
      <c r="N40" s="713" t="s">
        <v>2236</v>
      </c>
      <c r="O40" s="411">
        <v>2018</v>
      </c>
    </row>
    <row r="41" spans="2:17">
      <c r="B41" s="19"/>
      <c r="C41" s="1"/>
      <c r="D41" s="882"/>
      <c r="E41" s="883" t="str">
        <f>'2.Fiscal'!W22</f>
        <v>Rental Income - Housing Unit GPTR</v>
      </c>
      <c r="F41" s="884" t="str">
        <f>'2.Fiscal'!V22</f>
        <v>incomplete</v>
      </c>
    </row>
    <row r="42" spans="2:17">
      <c r="B42" s="19"/>
      <c r="C42" s="1"/>
      <c r="D42" s="882"/>
      <c r="E42" s="883" t="str">
        <f>'2.Fiscal'!W23</f>
        <v>Vacancy Loss - Housing Units</v>
      </c>
      <c r="F42" s="884" t="str">
        <f>'2.Fiscal'!V23</f>
        <v>incomplete</v>
      </c>
    </row>
    <row r="43" spans="2:17">
      <c r="B43" s="19"/>
      <c r="C43" s="1"/>
      <c r="D43" s="882"/>
      <c r="E43" s="885" t="str">
        <f>'2.Fiscal'!W24</f>
        <v>Operating Expenses</v>
      </c>
      <c r="F43" s="884" t="str">
        <f>'2.Fiscal'!V24</f>
        <v>incomplete</v>
      </c>
    </row>
    <row r="44" spans="2:17">
      <c r="B44" s="19"/>
      <c r="C44" s="1"/>
      <c r="D44" s="882"/>
      <c r="E44" s="909" t="str">
        <f>'2.Fiscal'!W25</f>
        <v>Surplus Cash/Residual Receipts (Rows 140 - 171)</v>
      </c>
      <c r="F44" s="884" t="str">
        <f>'2.Fiscal'!V25</f>
        <v>incomplete</v>
      </c>
    </row>
    <row r="45" spans="2:17">
      <c r="B45" s="19"/>
      <c r="C45" s="1"/>
      <c r="D45" s="927"/>
      <c r="E45" s="909" t="str">
        <f>'2.Fiscal'!W26</f>
        <v>Operating Reserve (Rows 177 - 186)</v>
      </c>
      <c r="F45" s="884" t="str">
        <f>'2.Fiscal'!V26</f>
        <v>incomplete</v>
      </c>
    </row>
    <row r="46" spans="2:17">
      <c r="B46" s="19"/>
      <c r="C46" s="1"/>
      <c r="D46" s="882"/>
      <c r="E46" s="883" t="str">
        <f>'2.Fiscal'!W27</f>
        <v>Replacement Reserve (Rows 188 - 196)</v>
      </c>
      <c r="F46" s="884" t="str">
        <f>'2.Fiscal'!V27</f>
        <v>incomplete</v>
      </c>
    </row>
    <row r="47" spans="2:17">
      <c r="B47" s="19"/>
      <c r="C47" s="1"/>
      <c r="D47" s="882"/>
      <c r="E47" s="883" t="str">
        <f>'2.Fiscal'!W28</f>
        <v>Changes to Real Estate Assets (Rows 198 - 205)</v>
      </c>
      <c r="F47" s="884" t="str">
        <f>'2.Fiscal'!V28</f>
        <v>incomplete</v>
      </c>
    </row>
    <row r="48" spans="2:17">
      <c r="B48" s="19"/>
      <c r="C48" s="1"/>
      <c r="D48" s="882"/>
      <c r="E48" s="883" t="str">
        <f>'2.Fiscal'!W29</f>
        <v>Replacement Reserve Eligible Expenditures (Rows 209 - 228)</v>
      </c>
      <c r="F48" s="884" t="str">
        <f>'2.Fiscal'!V29</f>
        <v>incomplete</v>
      </c>
    </row>
    <row r="49" spans="2:6">
      <c r="B49" s="19"/>
      <c r="C49" s="1"/>
      <c r="D49" s="882"/>
      <c r="E49" s="883" t="str">
        <f>'2.Fiscal'!W30</f>
        <v>Program Income (Rows 230 - 243)</v>
      </c>
      <c r="F49" s="878" t="str">
        <f>'2.Fiscal'!V30</f>
        <v>incomplete</v>
      </c>
    </row>
    <row r="50" spans="2:6">
      <c r="B50" s="19"/>
      <c r="C50" s="1"/>
    </row>
    <row r="51" spans="2:6">
      <c r="B51" s="19"/>
      <c r="C51" s="1"/>
      <c r="D51" s="420"/>
      <c r="E51" s="420"/>
      <c r="F51" s="420"/>
    </row>
    <row r="52" spans="2:6" ht="15.75" customHeight="1">
      <c r="B52" s="776"/>
      <c r="C52" s="773" t="str">
        <f>$P$32&amp;" "&amp;$O$32</f>
        <v>Worksheet 3A. Occupancy &amp; Rent Info</v>
      </c>
      <c r="D52" s="774"/>
      <c r="E52" s="2217" t="str">
        <f>IF('3A.Occpcy&amp;Rent'!$E$417&lt;&gt;3,"INCOMPLETE","COMPLETED")</f>
        <v>INCOMPLETE</v>
      </c>
      <c r="F52" s="2217"/>
    </row>
    <row r="53" spans="2:6" ht="60" customHeight="1">
      <c r="B53" s="19"/>
      <c r="C53" s="1"/>
      <c r="D53" s="2218" t="s">
        <v>782</v>
      </c>
      <c r="E53" s="2219"/>
      <c r="F53" s="886" t="str">
        <f>'3A.Occpcy&amp;Rent'!G416</f>
        <v>To Be Determined</v>
      </c>
    </row>
    <row r="54" spans="2:6" ht="54" customHeight="1">
      <c r="B54" s="19"/>
      <c r="C54" s="1"/>
      <c r="D54" s="2223" t="s">
        <v>785</v>
      </c>
      <c r="E54" s="2224"/>
      <c r="F54" s="886" t="str">
        <f>'3A.Occpcy&amp;Rent'!U416</f>
        <v>To Be Determined</v>
      </c>
    </row>
    <row r="55" spans="2:6" ht="39.75" customHeight="1">
      <c r="B55" s="19"/>
      <c r="C55" s="1"/>
      <c r="D55" s="2218" t="s">
        <v>674</v>
      </c>
      <c r="E55" s="2219"/>
      <c r="F55" s="886" t="str">
        <f>'3A.Occpcy&amp;Rent'!N416</f>
        <v>To Be Determined</v>
      </c>
    </row>
    <row r="56" spans="2:6">
      <c r="B56" s="19"/>
      <c r="C56" s="1"/>
      <c r="D56" s="420"/>
      <c r="E56" s="420"/>
      <c r="F56" s="420"/>
    </row>
    <row r="57" spans="2:6" ht="15.6">
      <c r="B57" s="19"/>
      <c r="C57" s="773" t="str">
        <f>$P$33&amp;" "&amp;$O$33</f>
        <v>Worksheet 3B. Demographic Information</v>
      </c>
      <c r="D57" s="774"/>
      <c r="E57" s="2217" t="str">
        <f>F58</f>
        <v>To Be Determined</v>
      </c>
      <c r="F57" s="2217"/>
    </row>
    <row r="58" spans="2:6" ht="13.8">
      <c r="B58" s="19"/>
      <c r="C58" s="1"/>
      <c r="D58" s="2218" t="s">
        <v>1597</v>
      </c>
      <c r="E58" s="2219"/>
      <c r="F58" s="886" t="str">
        <f>IF(F53="To Be Determined", "To Be Determined",IF(AND(F53="OK",'3B.Demographic'!P416=400),"COMPLETED","INCOMPLETE"))</f>
        <v>To Be Determined</v>
      </c>
    </row>
    <row r="59" spans="2:6" ht="26.4" customHeight="1">
      <c r="B59" s="19"/>
      <c r="C59" s="1"/>
      <c r="D59" s="2218" t="s">
        <v>2620</v>
      </c>
      <c r="E59" s="2219"/>
      <c r="F59" s="886" t="str">
        <f>IF(F53="To Be Determined", "To Be Determined",IF(AND(F53="OK",'3B.Demographic'!Q416=400),"COMPLETED","INCOMPLETE"))</f>
        <v>To Be Determined</v>
      </c>
    </row>
    <row r="60" spans="2:6">
      <c r="B60" s="19"/>
      <c r="C60" s="1"/>
      <c r="D60" s="420"/>
      <c r="E60" s="420"/>
      <c r="F60" s="420"/>
    </row>
    <row r="61" spans="2:6" ht="15.6">
      <c r="B61" s="19"/>
      <c r="C61" s="773" t="str">
        <f>$P$35&amp;" "&amp;$O$35</f>
        <v>Worksheet 4. Narrative</v>
      </c>
      <c r="D61" s="282"/>
      <c r="E61" s="2217" t="str">
        <f>IF(' 1A.Prop&amp;Residents'!G12="", "To Be Determined", IF(ISNUMBER(MATCH("To Be Determined",$F$62:$F$68,0)),"To Be Determined",IF(ISNUMBER(MATCH("incomplete",$F$62:$F$68,0)),"INCOMPLETE","COMPLETED")))</f>
        <v>To Be Determined</v>
      </c>
      <c r="F61" s="2217"/>
    </row>
    <row r="62" spans="2:6" ht="13.8">
      <c r="B62" s="19"/>
      <c r="C62" s="1"/>
      <c r="D62" s="420"/>
      <c r="E62" s="179">
        <f>'4.Narrative'!S8</f>
        <v>2</v>
      </c>
      <c r="F62" s="887" t="str">
        <f>'4.Narrative'!T8</f>
        <v>To Be Determined</v>
      </c>
    </row>
    <row r="63" spans="2:6" ht="13.8">
      <c r="B63" s="19"/>
      <c r="C63" s="1"/>
      <c r="D63" s="420"/>
      <c r="E63" s="179">
        <f>'4.Narrative'!S9</f>
        <v>3</v>
      </c>
      <c r="F63" s="887" t="str">
        <f>'4.Narrative'!T9</f>
        <v>To Be Determined</v>
      </c>
    </row>
    <row r="64" spans="2:6" ht="13.8">
      <c r="B64" s="19"/>
      <c r="C64" s="1"/>
      <c r="D64" s="420"/>
      <c r="E64" s="179">
        <f>'4.Narrative'!S10</f>
        <v>4</v>
      </c>
      <c r="F64" s="887" t="str">
        <f>'4.Narrative'!T10</f>
        <v>To Be Determined</v>
      </c>
    </row>
    <row r="65" spans="2:6" ht="13.8">
      <c r="B65" s="19"/>
      <c r="C65" s="1"/>
      <c r="D65" s="420"/>
      <c r="E65" s="179">
        <f>'4.Narrative'!S11</f>
        <v>5</v>
      </c>
      <c r="F65" s="887" t="str">
        <f>'4.Narrative'!T11</f>
        <v>To Be Determined</v>
      </c>
    </row>
    <row r="66" spans="2:6" ht="13.8">
      <c r="B66" s="19"/>
      <c r="C66" s="1"/>
      <c r="D66" s="420"/>
      <c r="E66" s="179">
        <f>'4.Narrative'!S12</f>
        <v>6</v>
      </c>
      <c r="F66" s="887" t="str">
        <f>'4.Narrative'!T12</f>
        <v>To Be Determined</v>
      </c>
    </row>
    <row r="67" spans="2:6" ht="13.8">
      <c r="B67" s="19"/>
      <c r="C67" s="1"/>
      <c r="D67" s="420"/>
      <c r="E67" s="179">
        <f>'4.Narrative'!S15</f>
        <v>7</v>
      </c>
      <c r="F67" s="887" t="str">
        <f>'4.Narrative'!$T$15</f>
        <v>To Be Determined</v>
      </c>
    </row>
    <row r="68" spans="2:6" ht="13.8">
      <c r="B68" s="19"/>
      <c r="C68" s="1"/>
      <c r="D68" s="420"/>
      <c r="E68" s="179">
        <f>'4.Narrative'!S16</f>
        <v>8</v>
      </c>
      <c r="F68" s="887" t="str">
        <f>'4.Narrative'!T16</f>
        <v>To Be Determined</v>
      </c>
    </row>
    <row r="69" spans="2:6">
      <c r="B69" s="19"/>
      <c r="C69" s="1"/>
      <c r="D69" s="420"/>
      <c r="E69" s="420"/>
      <c r="F69" s="420"/>
    </row>
    <row r="70" spans="2:6">
      <c r="B70" s="19"/>
      <c r="C70" s="1"/>
      <c r="D70" s="420"/>
      <c r="E70" s="420"/>
      <c r="F70" s="420"/>
    </row>
    <row r="71" spans="2:6" ht="15.6">
      <c r="B71" s="19"/>
      <c r="C71" s="773" t="str">
        <f>$P$36&amp;" "&amp;$O$36</f>
        <v>Worksheet 5. Project Financing</v>
      </c>
      <c r="D71" s="282"/>
      <c r="E71" s="2217" t="str">
        <f>IF('5.Financing'!B11="", "INCOMPLETE", "COMPLETED")</f>
        <v>INCOMPLETE</v>
      </c>
      <c r="F71" s="2217"/>
    </row>
    <row r="72" spans="2:6">
      <c r="B72" s="19"/>
      <c r="C72" s="1"/>
      <c r="D72" s="420"/>
      <c r="E72" s="420"/>
      <c r="F72" s="420"/>
    </row>
    <row r="73" spans="2:6">
      <c r="B73" s="19"/>
      <c r="C73" s="1"/>
      <c r="D73" s="420"/>
      <c r="E73" s="420"/>
      <c r="F73" s="420"/>
    </row>
    <row r="74" spans="2:6" ht="15.6">
      <c r="B74" s="19"/>
      <c r="C74" s="773" t="str">
        <f>$P$37&amp;" "&amp;$O$37</f>
        <v>Worksheet 6. Services Funding</v>
      </c>
      <c r="D74" s="282"/>
      <c r="E74" s="2217" t="str">
        <f>IF(' 1A.Prop&amp;Residents'!C73&lt;9, "To Be Determined", IF( ' 1A.Prop&amp;Residents'!D66=0, "Not Required", IF('6.Services'!D21&lt;' 1A.Prop&amp;Residents'!D73, "INCOMPLETE", "COMPLETED")))</f>
        <v>To Be Determined</v>
      </c>
      <c r="F74" s="2217"/>
    </row>
    <row r="76" spans="2:6" ht="56.25" customHeight="1"/>
  </sheetData>
  <sheetProtection algorithmName="SHA-512" hashValue="cZvOddbevBb/hpcoGxVehPA0CS3R4QNCYNzqQ14peW/jVXfB/ZGFmGbMgOdVYIEMrnoiZKXRLMg+f0ElEhlFlA==" saltValue="c3r0F1hkcFJhDsPNKrbkNw==" spinCount="100000" sheet="1" objects="1" scenarios="1" selectLockedCells="1"/>
  <customSheetViews>
    <customSheetView guid="{A4F761B4-88B3-4464-91E0-1CCCDBCD1B8B}" scale="75" showGridLines="0" showRuler="0">
      <rowBreaks count="1" manualBreakCount="1">
        <brk id="21" min="1" max="7" man="1"/>
      </rowBreaks>
      <pageMargins left="0.75" right="0.75" top="1" bottom="1" header="0.5" footer="0.5"/>
      <printOptions horizontalCentered="1"/>
      <pageSetup scale="74" fitToHeight="0" orientation="portrait" r:id="rId1"/>
      <headerFooter alignWithMargins="0"/>
    </customSheetView>
    <customSheetView guid="{BE27EBD8-ED47-4D05-A191-2893A8781B62}" fitToPage="1" hiddenRows="1" hiddenColumns="1" topLeftCell="B2">
      <selection sqref="A1:L1"/>
      <pageMargins left="0.75" right="0.75" top="1" bottom="1" header="0.5" footer="0.5"/>
      <printOptions horizontalCentered="1"/>
      <pageSetup scale="52" orientation="portrait" r:id="rId2"/>
      <headerFooter alignWithMargins="0"/>
    </customSheetView>
  </customSheetViews>
  <mergeCells count="16">
    <mergeCell ref="B5:G5"/>
    <mergeCell ref="I4:K4"/>
    <mergeCell ref="D55:E55"/>
    <mergeCell ref="E40:F40"/>
    <mergeCell ref="E29:F29"/>
    <mergeCell ref="E22:F22"/>
    <mergeCell ref="E52:F52"/>
    <mergeCell ref="E34:F34"/>
    <mergeCell ref="D53:E53"/>
    <mergeCell ref="D54:E54"/>
    <mergeCell ref="E57:F57"/>
    <mergeCell ref="D58:E58"/>
    <mergeCell ref="E74:F74"/>
    <mergeCell ref="E71:F71"/>
    <mergeCell ref="E61:F61"/>
    <mergeCell ref="D59:E59"/>
  </mergeCells>
  <phoneticPr fontId="0" type="noConversion"/>
  <conditionalFormatting sqref="F35:F38">
    <cfRule type="containsText" dxfId="12" priority="10" operator="containsText" text="households">
      <formula>NOT(ISERROR(SEARCH("households",F35)))</formula>
    </cfRule>
  </conditionalFormatting>
  <dataValidations xWindow="77" yWindow="485" count="1">
    <dataValidation allowBlank="1" showInputMessage="1" showErrorMessage="1" error="dO NOT ENTER DATA HERE!" sqref="D6"/>
  </dataValidations>
  <hyperlinks>
    <hyperlink ref="B13" r:id="rId3"/>
  </hyperlinks>
  <printOptions horizontalCentered="1"/>
  <pageMargins left="0.75" right="0.75" top="1" bottom="1" header="0.5" footer="0.5"/>
  <pageSetup scale="51" orientation="portrait" r:id="rId4"/>
  <headerFooter alignWithMargins="0"/>
  <extLst>
    <ext xmlns:x14="http://schemas.microsoft.com/office/spreadsheetml/2009/9/main" uri="{78C0D931-6437-407d-A8EE-F0AAD7539E65}">
      <x14:conditionalFormattings>
        <x14:conditionalFormatting xmlns:xm="http://schemas.microsoft.com/office/excel/2006/main">
          <x14:cfRule type="containsText" priority="11" operator="containsText" id="{AE159406-561F-49C4-9334-D49293FB3A34}">
            <xm:f>NOT(ISERROR(SEARCH("To Be Determined",E22)))</xm:f>
            <xm:f>"To Be Determined"</xm:f>
            <x14:dxf>
              <font>
                <color theme="0"/>
              </font>
              <fill>
                <patternFill>
                  <bgColor rgb="FFC00000"/>
                </patternFill>
              </fill>
            </x14:dxf>
          </x14:cfRule>
          <xm:sqref>E22:F22 F23:F27 E29:F29 F30:F32 E34:F34 F35:F38 E40:F40 E52:F52 F53:F55 E61:F61 F62:F68 E71:F71 E74:F74 F45:F49 F41:F43</xm:sqref>
        </x14:conditionalFormatting>
        <x14:conditionalFormatting xmlns:xm="http://schemas.microsoft.com/office/excel/2006/main">
          <x14:cfRule type="containsText" priority="7" operator="containsText" id="{0C9B235E-1BAC-4798-B905-2DE7BA4ADFF4}">
            <xm:f>NOT(ISERROR(SEARCH("To Be Determined",F44)))</xm:f>
            <xm:f>"To Be Determined"</xm:f>
            <x14:dxf>
              <font>
                <color theme="0"/>
              </font>
              <fill>
                <patternFill>
                  <bgColor rgb="FFC00000"/>
                </patternFill>
              </fill>
            </x14:dxf>
          </x14:cfRule>
          <x14:cfRule type="notContainsText" priority="8" operator="notContains" id="{90F3AFF7-ABCF-4673-A9B2-BD0B5CD3D81D}">
            <xm:f>ISERROR(SEARCH("Incomplete",F44))</xm:f>
            <xm:f>"Incomplete"</xm:f>
            <x14:dxf>
              <fill>
                <patternFill>
                  <bgColor rgb="FF92D050"/>
                </patternFill>
              </fill>
            </x14:dxf>
          </x14:cfRule>
          <x14:cfRule type="containsText" priority="9" operator="containsText" id="{5892FA5A-069F-4373-A296-5D52A9C07B20}">
            <xm:f>NOT(ISERROR(SEARCH("Incomplete",F44)))</xm:f>
            <xm:f>"Incomplete"</xm:f>
            <x14:dxf>
              <font>
                <color theme="0"/>
              </font>
              <fill>
                <patternFill>
                  <bgColor rgb="FFC00000"/>
                </patternFill>
              </fill>
            </x14:dxf>
          </x14:cfRule>
          <xm:sqref>F44</xm:sqref>
        </x14:conditionalFormatting>
        <x14:conditionalFormatting xmlns:xm="http://schemas.microsoft.com/office/excel/2006/main">
          <x14:cfRule type="notContainsText" priority="12" operator="notContains" id="{6ACC94F2-7F9D-468D-B597-8D4AD0EC9FC5}">
            <xm:f>ISERROR(SEARCH("Incomplete",E22))</xm:f>
            <xm:f>"Incomplete"</xm:f>
            <x14:dxf>
              <fill>
                <patternFill>
                  <bgColor rgb="FF92D050"/>
                </patternFill>
              </fill>
            </x14:dxf>
          </x14:cfRule>
          <x14:cfRule type="containsText" priority="13" operator="containsText" id="{C6C2B878-6806-4374-8224-F0CAF6FC68AF}">
            <xm:f>NOT(ISERROR(SEARCH("Incomplete",E22)))</xm:f>
            <xm:f>"Incomplete"</xm:f>
            <x14:dxf>
              <font>
                <color theme="0"/>
              </font>
              <fill>
                <patternFill>
                  <bgColor rgb="FFC00000"/>
                </patternFill>
              </fill>
            </x14:dxf>
          </x14:cfRule>
          <xm:sqref>E22:F22 F23:F27 E29:F29 F30:F32 E34:F34 F35:F38 E40:F40 E52:F52 F53:F55 E61:F61 F62:F68 E71:F71 E74:F74 F45:F49 F41:F43</xm:sqref>
        </x14:conditionalFormatting>
        <x14:conditionalFormatting xmlns:xm="http://schemas.microsoft.com/office/excel/2006/main">
          <x14:cfRule type="containsText" priority="4" operator="containsText" id="{06318D3D-EF65-4CDC-958E-107CFEF0E1C3}">
            <xm:f>NOT(ISERROR(SEARCH("To Be Determined",E57)))</xm:f>
            <xm:f>"To Be Determined"</xm:f>
            <x14:dxf>
              <font>
                <color theme="0"/>
              </font>
              <fill>
                <patternFill>
                  <bgColor rgb="FFC00000"/>
                </patternFill>
              </fill>
            </x14:dxf>
          </x14:cfRule>
          <xm:sqref>E57:F57</xm:sqref>
        </x14:conditionalFormatting>
        <x14:conditionalFormatting xmlns:xm="http://schemas.microsoft.com/office/excel/2006/main">
          <x14:cfRule type="notContainsText" priority="5" operator="notContains" id="{9E7C8912-34D0-4ABC-909F-76D2B8CC2FFA}">
            <xm:f>ISERROR(SEARCH("Incomplete",E57))</xm:f>
            <xm:f>"Incomplete"</xm:f>
            <x14:dxf>
              <fill>
                <patternFill>
                  <bgColor rgb="FF92D050"/>
                </patternFill>
              </fill>
            </x14:dxf>
          </x14:cfRule>
          <x14:cfRule type="containsText" priority="6" operator="containsText" id="{DCF49CFA-BD64-464C-8054-E167B6E22765}">
            <xm:f>NOT(ISERROR(SEARCH("Incomplete",E57)))</xm:f>
            <xm:f>"Incomplete"</xm:f>
            <x14:dxf>
              <font>
                <color theme="0"/>
              </font>
              <fill>
                <patternFill>
                  <bgColor rgb="FFC00000"/>
                </patternFill>
              </fill>
            </x14:dxf>
          </x14:cfRule>
          <xm:sqref>E57:F57</xm:sqref>
        </x14:conditionalFormatting>
        <x14:conditionalFormatting xmlns:xm="http://schemas.microsoft.com/office/excel/2006/main">
          <x14:cfRule type="containsText" priority="1" operator="containsText" id="{17026A1A-CC56-4647-846C-94A49CFE4B01}">
            <xm:f>NOT(ISERROR(SEARCH("To Be Determined",F58)))</xm:f>
            <xm:f>"To Be Determined"</xm:f>
            <x14:dxf>
              <font>
                <color theme="0"/>
              </font>
              <fill>
                <patternFill>
                  <bgColor rgb="FFC00000"/>
                </patternFill>
              </fill>
            </x14:dxf>
          </x14:cfRule>
          <xm:sqref>F58:F59</xm:sqref>
        </x14:conditionalFormatting>
        <x14:conditionalFormatting xmlns:xm="http://schemas.microsoft.com/office/excel/2006/main">
          <x14:cfRule type="notContainsText" priority="2" operator="notContains" id="{9356FA4B-A409-4B9D-90E6-72061253238B}">
            <xm:f>ISERROR(SEARCH("Incomplete",F58))</xm:f>
            <xm:f>"Incomplete"</xm:f>
            <x14:dxf>
              <fill>
                <patternFill>
                  <bgColor rgb="FF92D050"/>
                </patternFill>
              </fill>
            </x14:dxf>
          </x14:cfRule>
          <x14:cfRule type="containsText" priority="3" operator="containsText" id="{6424FEC0-7FBD-4ED1-82F9-75018C6A1BCD}">
            <xm:f>NOT(ISERROR(SEARCH("Incomplete",F58)))</xm:f>
            <xm:f>"Incomplete"</xm:f>
            <x14:dxf>
              <font>
                <color theme="0"/>
              </font>
              <fill>
                <patternFill>
                  <bgColor rgb="FFC00000"/>
                </patternFill>
              </fill>
            </x14:dxf>
          </x14:cfRule>
          <xm:sqref>F58:F59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316"/>
  <sheetViews>
    <sheetView workbookViewId="0"/>
  </sheetViews>
  <sheetFormatPr defaultColWidth="43.6640625" defaultRowHeight="13.2"/>
  <cols>
    <col min="2" max="2" width="19.6640625" customWidth="1"/>
    <col min="3" max="3" width="18.6640625" customWidth="1"/>
    <col min="4" max="4" width="15.6640625" customWidth="1"/>
    <col min="5" max="5" width="18.33203125" customWidth="1"/>
    <col min="7" max="7" width="14" customWidth="1"/>
    <col min="8" max="8" width="22" customWidth="1"/>
    <col min="9" max="9" width="23.6640625" customWidth="1"/>
    <col min="10" max="10" width="23.109375" customWidth="1"/>
    <col min="11" max="11" width="22.5546875" customWidth="1"/>
    <col min="12" max="12" width="26" customWidth="1"/>
  </cols>
  <sheetData>
    <row r="1" spans="2:13">
      <c r="B1" s="420" t="s">
        <v>2572</v>
      </c>
    </row>
    <row r="2" spans="2:13" ht="20.399999999999999">
      <c r="B2" s="1572" t="s">
        <v>1607</v>
      </c>
      <c r="F2" s="266">
        <v>1</v>
      </c>
      <c r="G2" s="266">
        <v>2</v>
      </c>
      <c r="H2" s="266">
        <v>3</v>
      </c>
      <c r="I2" s="266">
        <v>4</v>
      </c>
      <c r="J2" s="266">
        <v>5</v>
      </c>
      <c r="K2" s="266">
        <v>6</v>
      </c>
      <c r="L2" s="266">
        <v>7</v>
      </c>
      <c r="M2" s="266">
        <v>8</v>
      </c>
    </row>
    <row r="3" spans="2:13" s="1571" customFormat="1">
      <c r="B3" s="1573">
        <v>1</v>
      </c>
      <c r="C3" s="1574">
        <v>2</v>
      </c>
      <c r="D3" s="1574">
        <v>3</v>
      </c>
      <c r="E3" s="1574">
        <v>4</v>
      </c>
      <c r="F3" s="1574">
        <v>5</v>
      </c>
      <c r="G3" s="1574">
        <v>6</v>
      </c>
      <c r="H3" s="1574">
        <v>7</v>
      </c>
      <c r="I3" s="1574">
        <v>8</v>
      </c>
      <c r="J3" s="1574">
        <v>9</v>
      </c>
      <c r="K3" s="1574">
        <v>10</v>
      </c>
      <c r="L3" s="1574">
        <v>11</v>
      </c>
      <c r="M3" s="1574">
        <v>12</v>
      </c>
    </row>
    <row r="4" spans="2:13" s="554" customFormat="1" ht="14.4">
      <c r="B4" s="1743" t="s">
        <v>1277</v>
      </c>
      <c r="C4" s="1743" t="s">
        <v>1518</v>
      </c>
      <c r="D4" s="1743" t="s">
        <v>1519</v>
      </c>
      <c r="E4" s="1743" t="s">
        <v>1894</v>
      </c>
      <c r="F4" s="1743" t="s">
        <v>1895</v>
      </c>
      <c r="G4" s="1743" t="s">
        <v>1608</v>
      </c>
      <c r="H4" s="1743" t="s">
        <v>1609</v>
      </c>
      <c r="I4" s="1743" t="s">
        <v>2147</v>
      </c>
      <c r="J4" s="1743" t="s">
        <v>2608</v>
      </c>
      <c r="K4" s="1743" t="s">
        <v>1276</v>
      </c>
      <c r="L4" s="1743" t="s">
        <v>2460</v>
      </c>
      <c r="M4" s="1731" t="s">
        <v>2573</v>
      </c>
    </row>
    <row r="5" spans="2:13" ht="28.8">
      <c r="B5" s="1744" t="s">
        <v>2574</v>
      </c>
      <c r="C5" s="1744">
        <v>100</v>
      </c>
      <c r="D5" s="1744" t="s">
        <v>1871</v>
      </c>
      <c r="E5" s="1744" t="s">
        <v>1896</v>
      </c>
      <c r="F5" s="1744" t="s">
        <v>1897</v>
      </c>
      <c r="G5" s="1745">
        <v>118</v>
      </c>
      <c r="H5" s="1745">
        <v>117</v>
      </c>
      <c r="I5" s="1746"/>
      <c r="J5" s="1746"/>
      <c r="K5" s="1745">
        <v>2077</v>
      </c>
      <c r="L5" s="1745" t="s">
        <v>2420</v>
      </c>
      <c r="M5" s="1730" t="s">
        <v>2420</v>
      </c>
    </row>
    <row r="6" spans="2:13" ht="14.4">
      <c r="B6" s="1744" t="s">
        <v>2421</v>
      </c>
      <c r="C6" s="1744">
        <v>1015</v>
      </c>
      <c r="D6" s="1744" t="s">
        <v>2422</v>
      </c>
      <c r="E6" s="1744" t="s">
        <v>1898</v>
      </c>
      <c r="F6" s="1744" t="s">
        <v>2461</v>
      </c>
      <c r="G6" s="1745">
        <v>10</v>
      </c>
      <c r="H6" s="1745">
        <v>10</v>
      </c>
      <c r="I6" s="1746"/>
      <c r="J6" s="1746"/>
      <c r="K6" s="1745">
        <v>2278</v>
      </c>
      <c r="L6" s="1745" t="s">
        <v>2420</v>
      </c>
      <c r="M6" s="1730" t="s">
        <v>2420</v>
      </c>
    </row>
    <row r="7" spans="2:13" ht="14.4">
      <c r="B7" s="1744" t="s">
        <v>1764</v>
      </c>
      <c r="C7" s="1744">
        <v>1028</v>
      </c>
      <c r="D7" s="1744" t="s">
        <v>1543</v>
      </c>
      <c r="E7" s="1744" t="s">
        <v>1898</v>
      </c>
      <c r="F7" s="1744" t="s">
        <v>1899</v>
      </c>
      <c r="G7" s="1745">
        <v>30</v>
      </c>
      <c r="H7" s="1745">
        <v>30</v>
      </c>
      <c r="I7" s="1746"/>
      <c r="J7" s="1746"/>
      <c r="K7" s="1745">
        <v>1076</v>
      </c>
      <c r="L7" s="1745" t="s">
        <v>2420</v>
      </c>
      <c r="M7" s="1730" t="s">
        <v>2420</v>
      </c>
    </row>
    <row r="8" spans="2:13" ht="28.8">
      <c r="B8" s="1744" t="s">
        <v>2575</v>
      </c>
      <c r="C8" s="1744">
        <v>1036</v>
      </c>
      <c r="D8" s="1744" t="s">
        <v>1649</v>
      </c>
      <c r="E8" s="1744" t="s">
        <v>1917</v>
      </c>
      <c r="F8" s="1744" t="s">
        <v>2576</v>
      </c>
      <c r="G8" s="1745">
        <v>83</v>
      </c>
      <c r="H8" s="1745">
        <v>83</v>
      </c>
      <c r="I8" s="1746"/>
      <c r="J8" s="1746"/>
      <c r="K8" s="1745">
        <v>1553</v>
      </c>
      <c r="L8" s="1745" t="s">
        <v>2420</v>
      </c>
      <c r="M8" s="1730" t="s">
        <v>2420</v>
      </c>
    </row>
    <row r="9" spans="2:13" ht="43.2">
      <c r="B9" s="1744" t="s">
        <v>2577</v>
      </c>
      <c r="C9" s="1744">
        <v>1068</v>
      </c>
      <c r="D9" s="1744" t="s">
        <v>1859</v>
      </c>
      <c r="E9" s="1744" t="s">
        <v>1896</v>
      </c>
      <c r="F9" s="1744" t="s">
        <v>1900</v>
      </c>
      <c r="G9" s="1745">
        <v>213</v>
      </c>
      <c r="H9" s="1745">
        <v>211</v>
      </c>
      <c r="I9" s="1745"/>
      <c r="J9" s="1747"/>
      <c r="K9" s="1745">
        <v>2036</v>
      </c>
      <c r="L9" s="1745" t="s">
        <v>2420</v>
      </c>
      <c r="M9" s="1730" t="s">
        <v>2420</v>
      </c>
    </row>
    <row r="10" spans="2:13" ht="28.8">
      <c r="B10" s="1744" t="s">
        <v>1788</v>
      </c>
      <c r="C10" s="1744">
        <v>1390</v>
      </c>
      <c r="D10" s="1744" t="s">
        <v>1649</v>
      </c>
      <c r="E10" s="1744" t="s">
        <v>1898</v>
      </c>
      <c r="F10" s="1744" t="s">
        <v>1901</v>
      </c>
      <c r="G10" s="1745">
        <v>136</v>
      </c>
      <c r="H10" s="1745">
        <v>135</v>
      </c>
      <c r="I10" s="1745">
        <v>44</v>
      </c>
      <c r="J10" s="1747">
        <v>501196</v>
      </c>
      <c r="K10" s="1745">
        <v>1234</v>
      </c>
      <c r="L10" s="1745" t="s">
        <v>2420</v>
      </c>
      <c r="M10" s="1730" t="s">
        <v>2420</v>
      </c>
    </row>
    <row r="11" spans="2:13" ht="14.4">
      <c r="B11" s="1744" t="s">
        <v>1842</v>
      </c>
      <c r="C11" s="1744">
        <v>1100</v>
      </c>
      <c r="D11" s="1744" t="s">
        <v>1843</v>
      </c>
      <c r="E11" s="1744" t="s">
        <v>1902</v>
      </c>
      <c r="F11" s="1744" t="s">
        <v>1903</v>
      </c>
      <c r="G11" s="1745">
        <v>71</v>
      </c>
      <c r="H11" s="1745">
        <v>70</v>
      </c>
      <c r="I11" s="1746">
        <v>19</v>
      </c>
      <c r="J11" s="1765">
        <v>378496</v>
      </c>
      <c r="K11" s="1745">
        <v>1620</v>
      </c>
      <c r="L11" s="1745" t="s">
        <v>2420</v>
      </c>
      <c r="M11" s="1730" t="s">
        <v>2420</v>
      </c>
    </row>
    <row r="12" spans="2:13" ht="14.4">
      <c r="B12" s="1744" t="s">
        <v>1760</v>
      </c>
      <c r="C12" s="1744">
        <v>1101</v>
      </c>
      <c r="D12" s="1744" t="s">
        <v>1543</v>
      </c>
      <c r="E12" s="1744" t="s">
        <v>1898</v>
      </c>
      <c r="F12" s="1744" t="s">
        <v>1904</v>
      </c>
      <c r="G12" s="1745">
        <v>34</v>
      </c>
      <c r="H12" s="1745">
        <v>34</v>
      </c>
      <c r="I12" s="1746"/>
      <c r="J12" s="1746"/>
      <c r="K12" s="1745">
        <v>1072</v>
      </c>
      <c r="L12" s="1745" t="s">
        <v>2420</v>
      </c>
      <c r="M12" s="1730" t="s">
        <v>2420</v>
      </c>
    </row>
    <row r="13" spans="2:13" ht="14.4">
      <c r="B13" s="1744" t="s">
        <v>1765</v>
      </c>
      <c r="C13" s="1744">
        <v>111</v>
      </c>
      <c r="D13" s="1744" t="s">
        <v>1549</v>
      </c>
      <c r="E13" s="1744" t="s">
        <v>1898</v>
      </c>
      <c r="F13" s="1744" t="s">
        <v>1905</v>
      </c>
      <c r="G13" s="1745">
        <v>108</v>
      </c>
      <c r="H13" s="1745">
        <v>108</v>
      </c>
      <c r="I13" s="1745"/>
      <c r="J13" s="1747"/>
      <c r="K13" s="1745">
        <v>1135</v>
      </c>
      <c r="L13" s="1745" t="s">
        <v>2420</v>
      </c>
      <c r="M13" s="1730" t="s">
        <v>2420</v>
      </c>
    </row>
    <row r="14" spans="2:13" ht="14.4">
      <c r="B14" s="1744" t="s">
        <v>1847</v>
      </c>
      <c r="C14" s="1744">
        <v>1180</v>
      </c>
      <c r="D14" s="1744" t="s">
        <v>1666</v>
      </c>
      <c r="E14" s="1744" t="s">
        <v>1898</v>
      </c>
      <c r="F14" s="1744" t="s">
        <v>1906</v>
      </c>
      <c r="G14" s="1745">
        <v>150</v>
      </c>
      <c r="H14" s="1745">
        <v>149</v>
      </c>
      <c r="I14" s="1746">
        <v>50</v>
      </c>
      <c r="J14" s="1765">
        <v>604661</v>
      </c>
      <c r="K14" s="1745">
        <v>1826</v>
      </c>
      <c r="L14" s="1745" t="s">
        <v>2420</v>
      </c>
      <c r="M14" s="1730" t="s">
        <v>2420</v>
      </c>
    </row>
    <row r="15" spans="2:13" ht="14.4">
      <c r="B15" s="1744" t="s">
        <v>1340</v>
      </c>
      <c r="C15" s="1744">
        <v>1340</v>
      </c>
      <c r="D15" s="1744" t="s">
        <v>1537</v>
      </c>
      <c r="E15" s="1744" t="s">
        <v>1907</v>
      </c>
      <c r="F15" s="1744" t="s">
        <v>1908</v>
      </c>
      <c r="G15" s="1745">
        <v>6</v>
      </c>
      <c r="H15" s="1745">
        <v>0</v>
      </c>
      <c r="I15" s="1746"/>
      <c r="J15" s="1746"/>
      <c r="K15" s="1745">
        <v>1244</v>
      </c>
      <c r="L15" s="1745" t="s">
        <v>2420</v>
      </c>
      <c r="M15" s="1730" t="s">
        <v>2420</v>
      </c>
    </row>
    <row r="16" spans="2:13" ht="28.8">
      <c r="B16" s="1744" t="s">
        <v>2578</v>
      </c>
      <c r="C16" s="1744">
        <v>1353</v>
      </c>
      <c r="D16" s="1744" t="s">
        <v>1741</v>
      </c>
      <c r="E16" s="1744" t="s">
        <v>1898</v>
      </c>
      <c r="F16" s="1744" t="s">
        <v>1909</v>
      </c>
      <c r="G16" s="1745">
        <v>3</v>
      </c>
      <c r="H16" s="1745">
        <v>3</v>
      </c>
      <c r="I16" s="1746"/>
      <c r="J16" s="1746"/>
      <c r="K16" s="1745">
        <v>2135</v>
      </c>
      <c r="L16" s="1745" t="s">
        <v>2420</v>
      </c>
      <c r="M16" s="1730" t="s">
        <v>2420</v>
      </c>
    </row>
    <row r="17" spans="2:13" ht="28.8">
      <c r="B17" s="1744" t="s">
        <v>1636</v>
      </c>
      <c r="C17" s="1744">
        <v>1370</v>
      </c>
      <c r="D17" s="1744" t="s">
        <v>1637</v>
      </c>
      <c r="E17" s="1744" t="s">
        <v>1898</v>
      </c>
      <c r="F17" s="1744" t="s">
        <v>1910</v>
      </c>
      <c r="G17" s="1745">
        <v>49</v>
      </c>
      <c r="H17" s="1745">
        <v>48</v>
      </c>
      <c r="I17" s="1745"/>
      <c r="J17" s="1747"/>
      <c r="K17" s="1745">
        <v>69</v>
      </c>
      <c r="L17" s="1745" t="s">
        <v>2420</v>
      </c>
      <c r="M17" s="1730" t="s">
        <v>2420</v>
      </c>
    </row>
    <row r="18" spans="2:13" ht="28.8">
      <c r="B18" s="1744" t="s">
        <v>1822</v>
      </c>
      <c r="C18" s="1744">
        <v>149</v>
      </c>
      <c r="D18" s="1744" t="s">
        <v>1566</v>
      </c>
      <c r="E18" s="1744" t="s">
        <v>1898</v>
      </c>
      <c r="F18" s="1744" t="s">
        <v>1911</v>
      </c>
      <c r="G18" s="1745">
        <v>56</v>
      </c>
      <c r="H18" s="1745">
        <v>55</v>
      </c>
      <c r="I18" s="1746">
        <v>56</v>
      </c>
      <c r="J18" s="1765">
        <v>795425</v>
      </c>
      <c r="K18" s="1745">
        <v>1542</v>
      </c>
      <c r="L18" s="1745" t="s">
        <v>2420</v>
      </c>
      <c r="M18" s="1730" t="s">
        <v>2420</v>
      </c>
    </row>
    <row r="19" spans="2:13" ht="14.4">
      <c r="B19" s="1744" t="s">
        <v>1890</v>
      </c>
      <c r="C19" s="1744">
        <v>1500</v>
      </c>
      <c r="D19" s="1744" t="s">
        <v>1632</v>
      </c>
      <c r="E19" s="1744" t="s">
        <v>1902</v>
      </c>
      <c r="F19" s="1744" t="s">
        <v>1912</v>
      </c>
      <c r="G19" s="1745">
        <v>4</v>
      </c>
      <c r="H19" s="1745">
        <v>4</v>
      </c>
      <c r="I19" s="1746"/>
      <c r="J19" s="1746"/>
      <c r="K19" s="1745">
        <v>2145</v>
      </c>
      <c r="L19" s="1745" t="s">
        <v>2420</v>
      </c>
      <c r="M19" s="1730" t="s">
        <v>2420</v>
      </c>
    </row>
    <row r="20" spans="2:13" ht="14.4">
      <c r="B20" s="1744" t="s">
        <v>1872</v>
      </c>
      <c r="C20" s="1744" t="s">
        <v>1873</v>
      </c>
      <c r="D20" s="1744" t="s">
        <v>1874</v>
      </c>
      <c r="E20" s="1744" t="s">
        <v>1902</v>
      </c>
      <c r="F20" s="1744" t="s">
        <v>1913</v>
      </c>
      <c r="G20" s="1745">
        <v>4</v>
      </c>
      <c r="H20" s="1745">
        <v>4</v>
      </c>
      <c r="I20" s="1746"/>
      <c r="J20" s="1746"/>
      <c r="K20" s="1745">
        <v>2087</v>
      </c>
      <c r="L20" s="1745" t="s">
        <v>2420</v>
      </c>
      <c r="M20" s="1730" t="s">
        <v>2420</v>
      </c>
    </row>
    <row r="21" spans="2:13" ht="28.8">
      <c r="B21" s="1744" t="s">
        <v>1883</v>
      </c>
      <c r="C21" s="1744">
        <v>1684</v>
      </c>
      <c r="D21" s="1744" t="s">
        <v>1567</v>
      </c>
      <c r="E21" s="1744" t="s">
        <v>1898</v>
      </c>
      <c r="F21" s="1744" t="s">
        <v>1914</v>
      </c>
      <c r="G21" s="1745">
        <v>3</v>
      </c>
      <c r="H21" s="1745">
        <v>3</v>
      </c>
      <c r="I21" s="1746"/>
      <c r="J21" s="1746"/>
      <c r="K21" s="1745">
        <v>2132</v>
      </c>
      <c r="L21" s="1745" t="s">
        <v>2420</v>
      </c>
      <c r="M21" s="1730" t="s">
        <v>2420</v>
      </c>
    </row>
    <row r="22" spans="2:13" ht="14.4">
      <c r="B22" s="1744" t="s">
        <v>1648</v>
      </c>
      <c r="C22" s="1744">
        <v>1738</v>
      </c>
      <c r="D22" s="1744" t="s">
        <v>1649</v>
      </c>
      <c r="E22" s="1744" t="s">
        <v>1898</v>
      </c>
      <c r="F22" s="1744" t="s">
        <v>1915</v>
      </c>
      <c r="G22" s="1745">
        <v>10</v>
      </c>
      <c r="H22" s="1745">
        <v>7</v>
      </c>
      <c r="I22" s="1746"/>
      <c r="J22" s="1746"/>
      <c r="K22" s="1745">
        <v>125</v>
      </c>
      <c r="L22" s="1745" t="s">
        <v>2420</v>
      </c>
      <c r="M22" s="1730" t="s">
        <v>2420</v>
      </c>
    </row>
    <row r="23" spans="2:13" ht="14.4">
      <c r="B23" s="1744" t="s">
        <v>2462</v>
      </c>
      <c r="C23" s="1744">
        <v>1750</v>
      </c>
      <c r="D23" s="1744" t="s">
        <v>1555</v>
      </c>
      <c r="E23" s="1744" t="s">
        <v>1898</v>
      </c>
      <c r="F23" s="1744" t="s">
        <v>2463</v>
      </c>
      <c r="G23" s="1745">
        <v>97</v>
      </c>
      <c r="H23" s="1745">
        <v>97</v>
      </c>
      <c r="I23" s="1746"/>
      <c r="J23" s="1746"/>
      <c r="K23" s="1745">
        <v>2100</v>
      </c>
      <c r="L23" s="1745" t="s">
        <v>2420</v>
      </c>
      <c r="M23" s="1730" t="s">
        <v>2420</v>
      </c>
    </row>
    <row r="24" spans="2:13" ht="14.4">
      <c r="B24" s="1744" t="s">
        <v>2538</v>
      </c>
      <c r="C24" s="1744">
        <v>1760</v>
      </c>
      <c r="D24" s="1744" t="s">
        <v>1527</v>
      </c>
      <c r="E24" s="1744" t="s">
        <v>1898</v>
      </c>
      <c r="F24" s="1744" t="s">
        <v>2464</v>
      </c>
      <c r="G24" s="1745">
        <v>108</v>
      </c>
      <c r="H24" s="1745">
        <v>107</v>
      </c>
      <c r="I24" s="1746"/>
      <c r="J24" s="1746"/>
      <c r="K24" s="1745">
        <v>2098</v>
      </c>
      <c r="L24" s="1745" t="s">
        <v>2420</v>
      </c>
      <c r="M24" s="1730" t="s">
        <v>2420</v>
      </c>
    </row>
    <row r="25" spans="2:13" ht="14.4">
      <c r="B25" s="1744" t="s">
        <v>1339</v>
      </c>
      <c r="C25" s="1744">
        <v>1761</v>
      </c>
      <c r="D25" s="1744" t="s">
        <v>1539</v>
      </c>
      <c r="E25" s="1744" t="s">
        <v>1898</v>
      </c>
      <c r="F25" s="1744" t="s">
        <v>1916</v>
      </c>
      <c r="G25" s="1745">
        <v>13</v>
      </c>
      <c r="H25" s="1745">
        <v>13</v>
      </c>
      <c r="I25" s="1746"/>
      <c r="J25" s="1746"/>
      <c r="K25" s="1745">
        <v>1082</v>
      </c>
      <c r="L25" s="1745" t="s">
        <v>2420</v>
      </c>
      <c r="M25" s="1730" t="s">
        <v>2420</v>
      </c>
    </row>
    <row r="26" spans="2:13" ht="28.8">
      <c r="B26" s="1744" t="s">
        <v>2423</v>
      </c>
      <c r="C26" s="1744">
        <v>1880</v>
      </c>
      <c r="D26" s="1744" t="s">
        <v>1535</v>
      </c>
      <c r="E26" s="1744" t="s">
        <v>1898</v>
      </c>
      <c r="F26" s="1744" t="s">
        <v>2579</v>
      </c>
      <c r="G26" s="1745">
        <v>113</v>
      </c>
      <c r="H26" s="1745">
        <v>112</v>
      </c>
      <c r="I26" s="1746"/>
      <c r="J26" s="1746"/>
      <c r="K26" s="1745">
        <v>2006</v>
      </c>
      <c r="L26" s="1745" t="s">
        <v>2420</v>
      </c>
      <c r="M26" s="1730" t="s">
        <v>2420</v>
      </c>
    </row>
    <row r="27" spans="2:13" ht="14.4">
      <c r="B27" s="1744" t="s">
        <v>1278</v>
      </c>
      <c r="C27" s="1744">
        <v>1912</v>
      </c>
      <c r="D27" s="1744" t="s">
        <v>1555</v>
      </c>
      <c r="E27" s="1744" t="s">
        <v>1898</v>
      </c>
      <c r="F27" s="1744" t="s">
        <v>2424</v>
      </c>
      <c r="G27" s="1745">
        <v>0</v>
      </c>
      <c r="H27" s="1745">
        <v>0</v>
      </c>
      <c r="I27" s="1746"/>
      <c r="J27" s="1746"/>
      <c r="K27" s="1745">
        <v>145</v>
      </c>
      <c r="L27" s="1745" t="s">
        <v>2420</v>
      </c>
      <c r="M27" s="1730" t="s">
        <v>2420</v>
      </c>
    </row>
    <row r="28" spans="2:13" ht="28.8">
      <c r="B28" s="1744" t="s">
        <v>2465</v>
      </c>
      <c r="C28" s="1744" t="s">
        <v>2466</v>
      </c>
      <c r="D28" s="1744" t="s">
        <v>1622</v>
      </c>
      <c r="E28" s="1744" t="s">
        <v>1902</v>
      </c>
      <c r="F28" s="1744" t="s">
        <v>2467</v>
      </c>
      <c r="G28" s="1745">
        <v>3</v>
      </c>
      <c r="H28" s="1745">
        <v>3</v>
      </c>
      <c r="I28" s="1746"/>
      <c r="J28" s="1746"/>
      <c r="K28" s="1745">
        <v>2297</v>
      </c>
      <c r="L28" s="1745" t="s">
        <v>2420</v>
      </c>
      <c r="M28" s="1730" t="s">
        <v>2420</v>
      </c>
    </row>
    <row r="29" spans="2:13" ht="14.4">
      <c r="B29" s="1744" t="s">
        <v>1655</v>
      </c>
      <c r="C29" s="1744">
        <v>205</v>
      </c>
      <c r="D29" s="1744" t="s">
        <v>1549</v>
      </c>
      <c r="E29" s="1744" t="s">
        <v>1898</v>
      </c>
      <c r="F29" s="1744" t="s">
        <v>1918</v>
      </c>
      <c r="G29" s="1745">
        <v>50</v>
      </c>
      <c r="H29" s="1745">
        <v>49</v>
      </c>
      <c r="I29" s="1746"/>
      <c r="J29" s="1746"/>
      <c r="K29" s="1745">
        <v>154</v>
      </c>
      <c r="L29" s="1745" t="s">
        <v>2420</v>
      </c>
      <c r="M29" s="1730" t="s">
        <v>2420</v>
      </c>
    </row>
    <row r="30" spans="2:13" ht="14.4">
      <c r="B30" s="1744" t="s">
        <v>1338</v>
      </c>
      <c r="C30" s="1744">
        <v>214</v>
      </c>
      <c r="D30" s="1744" t="s">
        <v>1538</v>
      </c>
      <c r="E30" s="1744" t="s">
        <v>1898</v>
      </c>
      <c r="F30" s="1744" t="s">
        <v>1919</v>
      </c>
      <c r="G30" s="1745">
        <v>8</v>
      </c>
      <c r="H30" s="1745">
        <v>8</v>
      </c>
      <c r="I30" s="1746"/>
      <c r="J30" s="1746"/>
      <c r="K30" s="1745">
        <v>1081</v>
      </c>
      <c r="L30" s="1745" t="s">
        <v>2420</v>
      </c>
      <c r="M30" s="1730" t="s">
        <v>2420</v>
      </c>
    </row>
    <row r="31" spans="2:13" ht="14.4">
      <c r="B31" s="1744" t="s">
        <v>2425</v>
      </c>
      <c r="C31" s="1744">
        <v>2217</v>
      </c>
      <c r="D31" s="1744" t="s">
        <v>1649</v>
      </c>
      <c r="E31" s="1744" t="s">
        <v>1898</v>
      </c>
      <c r="F31" s="1744" t="s">
        <v>2468</v>
      </c>
      <c r="G31" s="1745">
        <v>8</v>
      </c>
      <c r="H31" s="1745">
        <v>8</v>
      </c>
      <c r="I31" s="1746"/>
      <c r="J31" s="1746"/>
      <c r="K31" s="1745">
        <v>2280</v>
      </c>
      <c r="L31" s="1745" t="s">
        <v>2420</v>
      </c>
      <c r="M31" s="1730" t="s">
        <v>2420</v>
      </c>
    </row>
    <row r="32" spans="2:13" ht="14.4">
      <c r="B32" s="1744" t="s">
        <v>1857</v>
      </c>
      <c r="C32" s="1744">
        <v>227</v>
      </c>
      <c r="D32" s="1744" t="s">
        <v>1725</v>
      </c>
      <c r="E32" s="1744" t="s">
        <v>1898</v>
      </c>
      <c r="F32" s="1744" t="s">
        <v>2580</v>
      </c>
      <c r="G32" s="1745">
        <v>50</v>
      </c>
      <c r="H32" s="1745">
        <v>49</v>
      </c>
      <c r="I32" s="1746"/>
      <c r="J32" s="1746"/>
      <c r="K32" s="1745">
        <v>2002</v>
      </c>
      <c r="L32" s="1745" t="s">
        <v>2420</v>
      </c>
      <c r="M32" s="1730" t="s">
        <v>2420</v>
      </c>
    </row>
    <row r="33" spans="2:13" ht="14.4">
      <c r="B33" s="1744" t="s">
        <v>1662</v>
      </c>
      <c r="C33" s="1744">
        <v>2300</v>
      </c>
      <c r="D33" s="1744" t="s">
        <v>1663</v>
      </c>
      <c r="E33" s="1744" t="s">
        <v>1902</v>
      </c>
      <c r="F33" s="1744" t="s">
        <v>1920</v>
      </c>
      <c r="G33" s="1745">
        <v>22</v>
      </c>
      <c r="H33" s="1745">
        <v>21</v>
      </c>
      <c r="I33" s="1746"/>
      <c r="J33" s="1746"/>
      <c r="K33" s="1745">
        <v>174</v>
      </c>
      <c r="L33" s="1745" t="s">
        <v>2420</v>
      </c>
      <c r="M33" s="1730" t="s">
        <v>2420</v>
      </c>
    </row>
    <row r="34" spans="2:13" ht="28.8">
      <c r="B34" s="1744" t="s">
        <v>1879</v>
      </c>
      <c r="C34" s="1744">
        <v>25</v>
      </c>
      <c r="D34" s="1744" t="s">
        <v>1880</v>
      </c>
      <c r="E34" s="1744" t="s">
        <v>1898</v>
      </c>
      <c r="F34" s="1744" t="s">
        <v>2581</v>
      </c>
      <c r="G34" s="1745">
        <v>90</v>
      </c>
      <c r="H34" s="1745">
        <v>89</v>
      </c>
      <c r="I34" s="1746"/>
      <c r="J34" s="1746"/>
      <c r="K34" s="1745">
        <v>2093</v>
      </c>
      <c r="L34" s="1745" t="s">
        <v>2420</v>
      </c>
      <c r="M34" s="1730" t="s">
        <v>2420</v>
      </c>
    </row>
    <row r="35" spans="2:13" ht="28.8">
      <c r="B35" s="1744" t="s">
        <v>1875</v>
      </c>
      <c r="C35" s="1744">
        <v>255</v>
      </c>
      <c r="D35" s="1744" t="s">
        <v>1876</v>
      </c>
      <c r="E35" s="1744" t="s">
        <v>1896</v>
      </c>
      <c r="F35" s="1744" t="s">
        <v>1921</v>
      </c>
      <c r="G35" s="1745">
        <v>109</v>
      </c>
      <c r="H35" s="1745">
        <v>108</v>
      </c>
      <c r="I35" s="1746"/>
      <c r="J35" s="1746"/>
      <c r="K35" s="1745">
        <v>2088</v>
      </c>
      <c r="L35" s="1745" t="s">
        <v>2420</v>
      </c>
      <c r="M35" s="1730" t="s">
        <v>2420</v>
      </c>
    </row>
    <row r="36" spans="2:13" ht="28.8">
      <c r="B36" s="1744" t="s">
        <v>2426</v>
      </c>
      <c r="C36" s="1744" t="s">
        <v>2539</v>
      </c>
      <c r="D36" s="1744" t="s">
        <v>2469</v>
      </c>
      <c r="E36" s="1744" t="s">
        <v>1902</v>
      </c>
      <c r="F36" s="1744" t="s">
        <v>2470</v>
      </c>
      <c r="G36" s="1745">
        <v>6</v>
      </c>
      <c r="H36" s="1745">
        <v>6</v>
      </c>
      <c r="I36" s="1746"/>
      <c r="J36" s="1746"/>
      <c r="K36" s="1745">
        <v>2268</v>
      </c>
      <c r="L36" s="1745" t="s">
        <v>2420</v>
      </c>
      <c r="M36" s="1730" t="s">
        <v>2420</v>
      </c>
    </row>
    <row r="37" spans="2:13" ht="14.4">
      <c r="B37" s="1744" t="s">
        <v>2471</v>
      </c>
      <c r="C37" s="1744">
        <v>2698</v>
      </c>
      <c r="D37" s="1744" t="s">
        <v>1637</v>
      </c>
      <c r="E37" s="1744" t="s">
        <v>1898</v>
      </c>
      <c r="F37" s="1744" t="s">
        <v>2472</v>
      </c>
      <c r="G37" s="1745">
        <v>40</v>
      </c>
      <c r="H37" s="1745">
        <v>39</v>
      </c>
      <c r="I37" s="1746"/>
      <c r="J37" s="1746"/>
      <c r="K37" s="1745">
        <v>2099</v>
      </c>
      <c r="L37" s="1745" t="s">
        <v>2420</v>
      </c>
      <c r="M37" s="1730" t="s">
        <v>2420</v>
      </c>
    </row>
    <row r="38" spans="2:13" ht="43.2">
      <c r="B38" s="1744" t="s">
        <v>1279</v>
      </c>
      <c r="C38" s="1744" t="s">
        <v>1550</v>
      </c>
      <c r="D38" s="1744" t="s">
        <v>1551</v>
      </c>
      <c r="E38" s="1744" t="s">
        <v>1898</v>
      </c>
      <c r="F38" s="1744" t="s">
        <v>1922</v>
      </c>
      <c r="G38" s="1745">
        <v>10</v>
      </c>
      <c r="H38" s="1745">
        <v>0</v>
      </c>
      <c r="I38" s="1746"/>
      <c r="J38" s="1746"/>
      <c r="K38" s="1745">
        <v>986</v>
      </c>
      <c r="L38" s="1745" t="s">
        <v>2420</v>
      </c>
      <c r="M38" s="1730" t="s">
        <v>2420</v>
      </c>
    </row>
    <row r="39" spans="2:13" ht="14.4">
      <c r="B39" s="1744" t="s">
        <v>1668</v>
      </c>
      <c r="C39" s="1744">
        <v>2782</v>
      </c>
      <c r="D39" s="1744" t="s">
        <v>1669</v>
      </c>
      <c r="E39" s="1744" t="s">
        <v>1898</v>
      </c>
      <c r="F39" s="1744" t="s">
        <v>1923</v>
      </c>
      <c r="G39" s="1745">
        <v>3</v>
      </c>
      <c r="H39" s="1745">
        <v>3</v>
      </c>
      <c r="I39" s="1746"/>
      <c r="J39" s="1746"/>
      <c r="K39" s="1745">
        <v>204</v>
      </c>
      <c r="L39" s="1745" t="s">
        <v>2420</v>
      </c>
      <c r="M39" s="1730" t="s">
        <v>2420</v>
      </c>
    </row>
    <row r="40" spans="2:13" ht="14.4">
      <c r="B40" s="1744" t="s">
        <v>1853</v>
      </c>
      <c r="C40" s="1744">
        <v>280</v>
      </c>
      <c r="D40" s="1744" t="s">
        <v>1854</v>
      </c>
      <c r="E40" s="1744" t="s">
        <v>1898</v>
      </c>
      <c r="F40" s="1744" t="s">
        <v>1924</v>
      </c>
      <c r="G40" s="1745">
        <v>70</v>
      </c>
      <c r="H40" s="1745">
        <v>69</v>
      </c>
      <c r="I40" s="1746"/>
      <c r="J40" s="1746"/>
      <c r="K40" s="1745">
        <v>1849</v>
      </c>
      <c r="L40" s="1745" t="s">
        <v>2420</v>
      </c>
      <c r="M40" s="1730" t="s">
        <v>2420</v>
      </c>
    </row>
    <row r="41" spans="2:13" ht="14.4">
      <c r="B41" s="1744" t="s">
        <v>1670</v>
      </c>
      <c r="C41" s="1744">
        <v>2945</v>
      </c>
      <c r="D41" s="1744" t="s">
        <v>1671</v>
      </c>
      <c r="E41" s="1744" t="s">
        <v>1898</v>
      </c>
      <c r="F41" s="1744" t="s">
        <v>1925</v>
      </c>
      <c r="G41" s="1745">
        <v>8</v>
      </c>
      <c r="H41" s="1745">
        <v>5</v>
      </c>
      <c r="I41" s="1746"/>
      <c r="J41" s="1746"/>
      <c r="K41" s="1745">
        <v>211</v>
      </c>
      <c r="L41" s="1745" t="s">
        <v>2420</v>
      </c>
      <c r="M41" s="1730" t="s">
        <v>2420</v>
      </c>
    </row>
    <row r="42" spans="2:13" ht="14.4">
      <c r="B42" s="1744" t="s">
        <v>2540</v>
      </c>
      <c r="C42" s="1744">
        <v>3019</v>
      </c>
      <c r="D42" s="1744" t="s">
        <v>1674</v>
      </c>
      <c r="E42" s="1744" t="s">
        <v>1898</v>
      </c>
      <c r="F42" s="1744" t="s">
        <v>1926</v>
      </c>
      <c r="G42" s="1745">
        <v>6</v>
      </c>
      <c r="H42" s="1745">
        <v>5</v>
      </c>
      <c r="I42" s="1746"/>
      <c r="J42" s="1746"/>
      <c r="K42" s="1745">
        <v>214</v>
      </c>
      <c r="L42" s="1745" t="s">
        <v>2420</v>
      </c>
      <c r="M42" s="1730" t="s">
        <v>2420</v>
      </c>
    </row>
    <row r="43" spans="2:13" ht="14.4">
      <c r="B43" s="1744" t="s">
        <v>2427</v>
      </c>
      <c r="C43" s="1744">
        <v>308</v>
      </c>
      <c r="D43" s="1744" t="s">
        <v>1521</v>
      </c>
      <c r="E43" s="1744" t="s">
        <v>1898</v>
      </c>
      <c r="F43" s="1744" t="s">
        <v>1927</v>
      </c>
      <c r="G43" s="1745">
        <v>20</v>
      </c>
      <c r="H43" s="1745">
        <v>20</v>
      </c>
      <c r="I43" s="1746"/>
      <c r="J43" s="1746"/>
      <c r="K43" s="1745">
        <v>2097</v>
      </c>
      <c r="L43" s="1745" t="s">
        <v>2420</v>
      </c>
      <c r="M43" s="1730" t="s">
        <v>2420</v>
      </c>
    </row>
    <row r="44" spans="2:13" ht="28.8">
      <c r="B44" s="1744" t="s">
        <v>2428</v>
      </c>
      <c r="C44" s="1744" t="s">
        <v>2429</v>
      </c>
      <c r="D44" s="1744" t="s">
        <v>2430</v>
      </c>
      <c r="E44" s="1744" t="s">
        <v>1898</v>
      </c>
      <c r="F44" s="1744" t="s">
        <v>2473</v>
      </c>
      <c r="G44" s="1745">
        <v>8</v>
      </c>
      <c r="H44" s="1745">
        <v>8</v>
      </c>
      <c r="I44" s="1746"/>
      <c r="J44" s="1746"/>
      <c r="K44" s="1745">
        <v>2272</v>
      </c>
      <c r="L44" s="1745" t="s">
        <v>2420</v>
      </c>
      <c r="M44" s="1730" t="s">
        <v>2420</v>
      </c>
    </row>
    <row r="45" spans="2:13" ht="14.4">
      <c r="B45" s="1744" t="s">
        <v>2148</v>
      </c>
      <c r="C45" s="1744" t="s">
        <v>2149</v>
      </c>
      <c r="D45" s="1744" t="s">
        <v>2431</v>
      </c>
      <c r="E45" s="1744" t="s">
        <v>1898</v>
      </c>
      <c r="F45" s="1744" t="s">
        <v>2474</v>
      </c>
      <c r="G45" s="1745">
        <v>10</v>
      </c>
      <c r="H45" s="1745">
        <v>10</v>
      </c>
      <c r="I45" s="1746"/>
      <c r="J45" s="1746"/>
      <c r="K45" s="1745">
        <v>2266</v>
      </c>
      <c r="L45" s="1745" t="s">
        <v>2420</v>
      </c>
      <c r="M45" s="1730" t="s">
        <v>2420</v>
      </c>
    </row>
    <row r="46" spans="2:13" ht="28.8">
      <c r="B46" s="1744" t="s">
        <v>2475</v>
      </c>
      <c r="C46" s="1744">
        <v>3353</v>
      </c>
      <c r="D46" s="1744" t="s">
        <v>1551</v>
      </c>
      <c r="E46" s="1744" t="s">
        <v>1898</v>
      </c>
      <c r="F46" s="1744" t="s">
        <v>2476</v>
      </c>
      <c r="G46" s="1745">
        <v>10</v>
      </c>
      <c r="H46" s="1745">
        <v>10</v>
      </c>
      <c r="I46" s="1746"/>
      <c r="J46" s="1746"/>
      <c r="K46" s="1745">
        <v>2301</v>
      </c>
      <c r="L46" s="1745" t="s">
        <v>2420</v>
      </c>
      <c r="M46" s="1730" t="s">
        <v>2420</v>
      </c>
    </row>
    <row r="47" spans="2:13" ht="14.4">
      <c r="B47" s="1744" t="s">
        <v>1681</v>
      </c>
      <c r="C47" s="1744">
        <v>3434</v>
      </c>
      <c r="D47" s="1744" t="s">
        <v>1647</v>
      </c>
      <c r="E47" s="1744" t="s">
        <v>1898</v>
      </c>
      <c r="F47" s="1744" t="s">
        <v>1928</v>
      </c>
      <c r="G47" s="1745">
        <v>8</v>
      </c>
      <c r="H47" s="1745">
        <v>8</v>
      </c>
      <c r="I47" s="1746"/>
      <c r="J47" s="1746"/>
      <c r="K47" s="1745">
        <v>240</v>
      </c>
      <c r="L47" s="1745" t="s">
        <v>2420</v>
      </c>
      <c r="M47" s="1730" t="s">
        <v>2420</v>
      </c>
    </row>
    <row r="48" spans="2:13" ht="28.8">
      <c r="B48" s="1744" t="s">
        <v>2432</v>
      </c>
      <c r="C48" s="1744" t="s">
        <v>2433</v>
      </c>
      <c r="D48" s="1744" t="s">
        <v>1622</v>
      </c>
      <c r="E48" s="1744" t="s">
        <v>1902</v>
      </c>
      <c r="F48" s="1744" t="s">
        <v>2477</v>
      </c>
      <c r="G48" s="1745">
        <v>3</v>
      </c>
      <c r="H48" s="1745">
        <v>3</v>
      </c>
      <c r="I48" s="1746"/>
      <c r="J48" s="1746"/>
      <c r="K48" s="1745">
        <v>2271</v>
      </c>
      <c r="L48" s="1745" t="s">
        <v>2420</v>
      </c>
      <c r="M48" s="1730" t="s">
        <v>2420</v>
      </c>
    </row>
    <row r="49" spans="2:13" ht="28.8">
      <c r="B49" s="1744" t="s">
        <v>1865</v>
      </c>
      <c r="C49" s="1744">
        <v>345</v>
      </c>
      <c r="D49" s="1744" t="s">
        <v>1866</v>
      </c>
      <c r="E49" s="1744" t="s">
        <v>1896</v>
      </c>
      <c r="F49" s="1744" t="s">
        <v>1929</v>
      </c>
      <c r="G49" s="1745">
        <v>69</v>
      </c>
      <c r="H49" s="1745">
        <v>68</v>
      </c>
      <c r="I49" s="1746"/>
      <c r="J49" s="1746"/>
      <c r="K49" s="1745">
        <v>2047</v>
      </c>
      <c r="L49" s="1745" t="s">
        <v>2420</v>
      </c>
      <c r="M49" s="1730" t="s">
        <v>2420</v>
      </c>
    </row>
    <row r="50" spans="2:13" ht="14.4">
      <c r="B50" s="1744" t="s">
        <v>2434</v>
      </c>
      <c r="C50" s="1744" t="s">
        <v>2435</v>
      </c>
      <c r="D50" s="1744" t="s">
        <v>2478</v>
      </c>
      <c r="E50" s="1744" t="s">
        <v>1902</v>
      </c>
      <c r="F50" s="1744" t="s">
        <v>2479</v>
      </c>
      <c r="G50" s="1745">
        <v>4</v>
      </c>
      <c r="H50" s="1745">
        <v>4</v>
      </c>
      <c r="I50" s="1746"/>
      <c r="J50" s="1746"/>
      <c r="K50" s="1745">
        <v>2284</v>
      </c>
      <c r="L50" s="1745" t="s">
        <v>2420</v>
      </c>
      <c r="M50" s="1730" t="s">
        <v>2420</v>
      </c>
    </row>
    <row r="51" spans="2:13" ht="14.4">
      <c r="B51" s="1744" t="s">
        <v>2480</v>
      </c>
      <c r="C51" s="1744">
        <v>350</v>
      </c>
      <c r="D51" s="1744" t="s">
        <v>1545</v>
      </c>
      <c r="E51" s="1744" t="s">
        <v>1898</v>
      </c>
      <c r="F51" s="1744" t="s">
        <v>2481</v>
      </c>
      <c r="G51" s="1745">
        <v>96</v>
      </c>
      <c r="H51" s="1745">
        <v>96</v>
      </c>
      <c r="I51" s="1746"/>
      <c r="J51" s="1746"/>
      <c r="K51" s="1745">
        <v>2161</v>
      </c>
      <c r="L51" s="1745" t="s">
        <v>2420</v>
      </c>
      <c r="M51" s="1730" t="s">
        <v>2420</v>
      </c>
    </row>
    <row r="52" spans="2:13" ht="14.4">
      <c r="B52" s="1744" t="s">
        <v>2541</v>
      </c>
      <c r="C52" s="1744">
        <v>375</v>
      </c>
      <c r="D52" s="1744" t="s">
        <v>1529</v>
      </c>
      <c r="E52" s="1744" t="s">
        <v>1898</v>
      </c>
      <c r="F52" s="1744" t="s">
        <v>1930</v>
      </c>
      <c r="G52" s="1745">
        <v>35</v>
      </c>
      <c r="H52" s="1745">
        <v>32</v>
      </c>
      <c r="I52" s="1746"/>
      <c r="J52" s="1746"/>
      <c r="K52" s="1745">
        <v>255</v>
      </c>
      <c r="L52" s="1745" t="s">
        <v>2420</v>
      </c>
      <c r="M52" s="1730" t="s">
        <v>2420</v>
      </c>
    </row>
    <row r="53" spans="2:13" ht="14.4">
      <c r="B53" s="1744" t="s">
        <v>1884</v>
      </c>
      <c r="C53" s="1744">
        <v>380</v>
      </c>
      <c r="D53" s="1744" t="s">
        <v>1885</v>
      </c>
      <c r="E53" s="1744" t="s">
        <v>1902</v>
      </c>
      <c r="F53" s="1744" t="s">
        <v>1931</v>
      </c>
      <c r="G53" s="1745">
        <v>4</v>
      </c>
      <c r="H53" s="1745">
        <v>4</v>
      </c>
      <c r="I53" s="1746"/>
      <c r="J53" s="1746"/>
      <c r="K53" s="1745">
        <v>2133</v>
      </c>
      <c r="L53" s="1745" t="s">
        <v>2420</v>
      </c>
      <c r="M53" s="1730" t="s">
        <v>2420</v>
      </c>
    </row>
    <row r="54" spans="2:13" ht="28.8">
      <c r="B54" s="1744" t="s">
        <v>2436</v>
      </c>
      <c r="C54" s="1744" t="s">
        <v>2437</v>
      </c>
      <c r="D54" s="1744" t="s">
        <v>1649</v>
      </c>
      <c r="E54" s="1744" t="s">
        <v>1898</v>
      </c>
      <c r="F54" s="1744" t="s">
        <v>2482</v>
      </c>
      <c r="G54" s="1745">
        <v>5</v>
      </c>
      <c r="H54" s="1745">
        <v>5</v>
      </c>
      <c r="I54" s="1746"/>
      <c r="J54" s="1746"/>
      <c r="K54" s="1745">
        <v>2267</v>
      </c>
      <c r="L54" s="1745" t="s">
        <v>2420</v>
      </c>
      <c r="M54" s="1730" t="s">
        <v>2420</v>
      </c>
    </row>
    <row r="55" spans="2:13" ht="14.4">
      <c r="B55" s="1744" t="s">
        <v>1893</v>
      </c>
      <c r="C55" s="1744">
        <v>3840</v>
      </c>
      <c r="D55" s="1744" t="s">
        <v>1741</v>
      </c>
      <c r="E55" s="1744" t="s">
        <v>1898</v>
      </c>
      <c r="F55" s="1744" t="s">
        <v>1932</v>
      </c>
      <c r="G55" s="1745">
        <v>4</v>
      </c>
      <c r="H55" s="1745">
        <v>4</v>
      </c>
      <c r="I55" s="1746"/>
      <c r="J55" s="1746"/>
      <c r="K55" s="1745">
        <v>2159</v>
      </c>
      <c r="L55" s="1745" t="s">
        <v>2420</v>
      </c>
      <c r="M55" s="1730" t="s">
        <v>2420</v>
      </c>
    </row>
    <row r="56" spans="2:13" ht="43.2">
      <c r="B56" s="1744" t="s">
        <v>2483</v>
      </c>
      <c r="C56" s="1744">
        <v>3850</v>
      </c>
      <c r="D56" s="1744" t="s">
        <v>1647</v>
      </c>
      <c r="E56" s="1744" t="s">
        <v>1898</v>
      </c>
      <c r="F56" s="1744" t="s">
        <v>2484</v>
      </c>
      <c r="G56" s="1745">
        <v>107</v>
      </c>
      <c r="H56" s="1745">
        <v>106</v>
      </c>
      <c r="I56" s="1746"/>
      <c r="J56" s="1746"/>
      <c r="K56" s="1745">
        <v>2095</v>
      </c>
      <c r="L56" s="1745" t="s">
        <v>2420</v>
      </c>
      <c r="M56" s="1730" t="s">
        <v>2420</v>
      </c>
    </row>
    <row r="57" spans="2:13" ht="28.8">
      <c r="B57" s="1744" t="s">
        <v>2438</v>
      </c>
      <c r="C57" s="1744">
        <v>4042</v>
      </c>
      <c r="D57" s="1744" t="s">
        <v>1845</v>
      </c>
      <c r="E57" s="1744" t="s">
        <v>1898</v>
      </c>
      <c r="F57" s="1744" t="s">
        <v>2485</v>
      </c>
      <c r="G57" s="1745">
        <v>5</v>
      </c>
      <c r="H57" s="1745">
        <v>5</v>
      </c>
      <c r="I57" s="1746"/>
      <c r="J57" s="1746"/>
      <c r="K57" s="1745">
        <v>2270</v>
      </c>
      <c r="L57" s="1745" t="s">
        <v>2420</v>
      </c>
      <c r="M57" s="1730" t="s">
        <v>2420</v>
      </c>
    </row>
    <row r="58" spans="2:13" ht="14.4">
      <c r="B58" s="1744" t="s">
        <v>1783</v>
      </c>
      <c r="C58" s="1744">
        <v>421</v>
      </c>
      <c r="D58" s="1744" t="s">
        <v>1521</v>
      </c>
      <c r="E58" s="1744" t="s">
        <v>1898</v>
      </c>
      <c r="F58" s="1744" t="s">
        <v>1933</v>
      </c>
      <c r="G58" s="1745">
        <v>29</v>
      </c>
      <c r="H58" s="1745">
        <v>28</v>
      </c>
      <c r="I58" s="1746"/>
      <c r="J58" s="1746"/>
      <c r="K58" s="1745">
        <v>1219</v>
      </c>
      <c r="L58" s="1745" t="s">
        <v>2420</v>
      </c>
      <c r="M58" s="1730" t="s">
        <v>2420</v>
      </c>
    </row>
    <row r="59" spans="2:13" ht="28.8">
      <c r="B59" s="1744" t="s">
        <v>1877</v>
      </c>
      <c r="C59" s="1744">
        <v>430</v>
      </c>
      <c r="D59" s="1744" t="s">
        <v>1521</v>
      </c>
      <c r="E59" s="1744" t="s">
        <v>1898</v>
      </c>
      <c r="F59" s="1744" t="s">
        <v>2582</v>
      </c>
      <c r="G59" s="1745">
        <v>89</v>
      </c>
      <c r="H59" s="1745">
        <v>89</v>
      </c>
      <c r="I59" s="1746"/>
      <c r="J59" s="1746"/>
      <c r="K59" s="1745">
        <v>2089</v>
      </c>
      <c r="L59" s="1745" t="s">
        <v>2420</v>
      </c>
      <c r="M59" s="1730" t="s">
        <v>2420</v>
      </c>
    </row>
    <row r="60" spans="2:13" ht="14.4">
      <c r="B60" s="1744" t="s">
        <v>1694</v>
      </c>
      <c r="C60" s="1744">
        <v>450</v>
      </c>
      <c r="D60" s="1744" t="s">
        <v>1545</v>
      </c>
      <c r="E60" s="1744" t="s">
        <v>1898</v>
      </c>
      <c r="F60" s="1744" t="s">
        <v>1694</v>
      </c>
      <c r="G60" s="1745">
        <v>29</v>
      </c>
      <c r="H60" s="1745">
        <v>24</v>
      </c>
      <c r="I60" s="1746"/>
      <c r="J60" s="1746"/>
      <c r="K60" s="1745">
        <v>280</v>
      </c>
      <c r="L60" s="1745" t="s">
        <v>2420</v>
      </c>
      <c r="M60" s="1730" t="s">
        <v>2420</v>
      </c>
    </row>
    <row r="61" spans="2:13" ht="28.8">
      <c r="B61" s="1744" t="s">
        <v>1878</v>
      </c>
      <c r="C61" s="1744">
        <v>462</v>
      </c>
      <c r="D61" s="1744" t="s">
        <v>1874</v>
      </c>
      <c r="E61" s="1744" t="s">
        <v>1896</v>
      </c>
      <c r="F61" s="1744" t="s">
        <v>1934</v>
      </c>
      <c r="G61" s="1745">
        <v>42</v>
      </c>
      <c r="H61" s="1745">
        <v>41</v>
      </c>
      <c r="I61" s="1746"/>
      <c r="J61" s="1746"/>
      <c r="K61" s="1745">
        <v>2092</v>
      </c>
      <c r="L61" s="1745" t="s">
        <v>2420</v>
      </c>
      <c r="M61" s="1730" t="s">
        <v>2420</v>
      </c>
    </row>
    <row r="62" spans="2:13" ht="14.4">
      <c r="B62" s="1744" t="s">
        <v>1891</v>
      </c>
      <c r="C62" s="1744">
        <v>462</v>
      </c>
      <c r="D62" s="1744" t="s">
        <v>1892</v>
      </c>
      <c r="E62" s="1744" t="s">
        <v>1898</v>
      </c>
      <c r="F62" s="1744" t="s">
        <v>1935</v>
      </c>
      <c r="G62" s="1745">
        <v>6</v>
      </c>
      <c r="H62" s="1745">
        <v>6</v>
      </c>
      <c r="I62" s="1746"/>
      <c r="J62" s="1746"/>
      <c r="K62" s="1745">
        <v>2158</v>
      </c>
      <c r="L62" s="1745" t="s">
        <v>2420</v>
      </c>
      <c r="M62" s="1730" t="s">
        <v>2420</v>
      </c>
    </row>
    <row r="63" spans="2:13" ht="14.4">
      <c r="B63" s="1744" t="s">
        <v>1735</v>
      </c>
      <c r="C63" s="1744">
        <v>479</v>
      </c>
      <c r="D63" s="1744" t="s">
        <v>1522</v>
      </c>
      <c r="E63" s="1744" t="s">
        <v>1898</v>
      </c>
      <c r="F63" s="1744" t="s">
        <v>1936</v>
      </c>
      <c r="G63" s="1745">
        <v>30</v>
      </c>
      <c r="H63" s="1745">
        <v>29</v>
      </c>
      <c r="I63" s="1746"/>
      <c r="J63" s="1746"/>
      <c r="K63" s="1745">
        <v>1006</v>
      </c>
      <c r="L63" s="1745" t="s">
        <v>2420</v>
      </c>
      <c r="M63" s="1730" t="s">
        <v>2420</v>
      </c>
    </row>
    <row r="64" spans="2:13" ht="28.8">
      <c r="B64" s="1744" t="s">
        <v>1867</v>
      </c>
      <c r="C64" s="1744">
        <v>491</v>
      </c>
      <c r="D64" s="1744" t="s">
        <v>1868</v>
      </c>
      <c r="E64" s="1744" t="s">
        <v>1896</v>
      </c>
      <c r="F64" s="1744" t="s">
        <v>1937</v>
      </c>
      <c r="G64" s="1745">
        <v>75</v>
      </c>
      <c r="H64" s="1745">
        <v>74</v>
      </c>
      <c r="I64" s="1746"/>
      <c r="J64" s="1746"/>
      <c r="K64" s="1745">
        <v>2048</v>
      </c>
      <c r="L64" s="1745" t="s">
        <v>2420</v>
      </c>
      <c r="M64" s="1730" t="s">
        <v>2420</v>
      </c>
    </row>
    <row r="65" spans="2:13" ht="14.4">
      <c r="B65" s="1744" t="s">
        <v>1704</v>
      </c>
      <c r="C65" s="1744">
        <v>518</v>
      </c>
      <c r="D65" s="1744" t="s">
        <v>1620</v>
      </c>
      <c r="E65" s="1744" t="s">
        <v>1898</v>
      </c>
      <c r="F65" s="1744" t="s">
        <v>1938</v>
      </c>
      <c r="G65" s="1745">
        <v>24</v>
      </c>
      <c r="H65" s="1745">
        <v>23</v>
      </c>
      <c r="I65" s="1746"/>
      <c r="J65" s="1746"/>
      <c r="K65" s="1745">
        <v>305</v>
      </c>
      <c r="L65" s="1745" t="s">
        <v>2420</v>
      </c>
      <c r="M65" s="1730" t="s">
        <v>2420</v>
      </c>
    </row>
    <row r="66" spans="2:13" ht="14.4">
      <c r="B66" s="1744" t="s">
        <v>2439</v>
      </c>
      <c r="C66" s="1744">
        <v>525</v>
      </c>
      <c r="D66" s="1744" t="s">
        <v>1546</v>
      </c>
      <c r="E66" s="1744" t="s">
        <v>1898</v>
      </c>
      <c r="F66" s="1744" t="s">
        <v>1939</v>
      </c>
      <c r="G66" s="1745">
        <v>26</v>
      </c>
      <c r="H66" s="1745">
        <v>25</v>
      </c>
      <c r="I66" s="1746"/>
      <c r="J66" s="1746"/>
      <c r="K66" s="1745">
        <v>312</v>
      </c>
      <c r="L66" s="1745" t="s">
        <v>2420</v>
      </c>
      <c r="M66" s="1730" t="s">
        <v>2420</v>
      </c>
    </row>
    <row r="67" spans="2:13" ht="14.4">
      <c r="B67" s="1744" t="s">
        <v>1860</v>
      </c>
      <c r="C67" s="1744" t="s">
        <v>1861</v>
      </c>
      <c r="D67" s="1744" t="s">
        <v>1522</v>
      </c>
      <c r="E67" s="1744" t="s">
        <v>1898</v>
      </c>
      <c r="F67" s="1744" t="s">
        <v>1860</v>
      </c>
      <c r="G67" s="1745">
        <v>5</v>
      </c>
      <c r="H67" s="1745">
        <v>4</v>
      </c>
      <c r="I67" s="1746"/>
      <c r="J67" s="1746"/>
      <c r="K67" s="1745">
        <v>2038</v>
      </c>
      <c r="L67" s="1745" t="s">
        <v>2420</v>
      </c>
      <c r="M67" s="1730" t="s">
        <v>2420</v>
      </c>
    </row>
    <row r="68" spans="2:13" ht="28.8">
      <c r="B68" s="1744" t="s">
        <v>1706</v>
      </c>
      <c r="C68" s="1744">
        <v>555</v>
      </c>
      <c r="D68" s="1744" t="s">
        <v>1545</v>
      </c>
      <c r="E68" s="1744" t="s">
        <v>1898</v>
      </c>
      <c r="F68" s="1744" t="s">
        <v>1940</v>
      </c>
      <c r="G68" s="1745">
        <v>38</v>
      </c>
      <c r="H68" s="1745">
        <v>37</v>
      </c>
      <c r="I68" s="1746"/>
      <c r="J68" s="1746"/>
      <c r="K68" s="1745">
        <v>320</v>
      </c>
      <c r="L68" s="1745" t="s">
        <v>2420</v>
      </c>
      <c r="M68" s="1730" t="s">
        <v>2420</v>
      </c>
    </row>
    <row r="69" spans="2:13" ht="28.8">
      <c r="B69" s="1744" t="s">
        <v>1889</v>
      </c>
      <c r="C69" s="1744" t="s">
        <v>2625</v>
      </c>
      <c r="D69" s="1744" t="s">
        <v>1522</v>
      </c>
      <c r="E69" s="1744" t="s">
        <v>1898</v>
      </c>
      <c r="F69" s="1744" t="s">
        <v>2626</v>
      </c>
      <c r="G69" s="1745">
        <v>5</v>
      </c>
      <c r="H69" s="1745">
        <v>5</v>
      </c>
      <c r="I69" s="1746"/>
      <c r="J69" s="1746"/>
      <c r="K69" s="1745">
        <v>2140</v>
      </c>
      <c r="L69" s="1745" t="s">
        <v>2420</v>
      </c>
      <c r="M69" s="1730" t="s">
        <v>2420</v>
      </c>
    </row>
    <row r="70" spans="2:13" ht="14.4">
      <c r="B70" s="1744" t="s">
        <v>1707</v>
      </c>
      <c r="C70" s="1744">
        <v>575</v>
      </c>
      <c r="D70" s="1744" t="s">
        <v>1529</v>
      </c>
      <c r="E70" s="1744" t="s">
        <v>1898</v>
      </c>
      <c r="F70" s="1744" t="s">
        <v>1941</v>
      </c>
      <c r="G70" s="1745">
        <v>47</v>
      </c>
      <c r="H70" s="1745">
        <v>42</v>
      </c>
      <c r="I70" s="1746"/>
      <c r="J70" s="1746"/>
      <c r="K70" s="1745">
        <v>324</v>
      </c>
      <c r="L70" s="1745" t="s">
        <v>2420</v>
      </c>
      <c r="M70" s="1730" t="s">
        <v>2420</v>
      </c>
    </row>
    <row r="71" spans="2:13" ht="28.8">
      <c r="B71" s="1744" t="s">
        <v>2627</v>
      </c>
      <c r="C71" s="1744">
        <v>588</v>
      </c>
      <c r="D71" s="1744" t="s">
        <v>2496</v>
      </c>
      <c r="E71" s="1744" t="s">
        <v>2497</v>
      </c>
      <c r="F71" s="1744" t="s">
        <v>2498</v>
      </c>
      <c r="G71" s="1745">
        <v>200</v>
      </c>
      <c r="H71" s="1745">
        <v>198</v>
      </c>
      <c r="I71" s="1746"/>
      <c r="J71" s="1746"/>
      <c r="K71" s="1745">
        <v>1998</v>
      </c>
      <c r="L71" s="1745" t="s">
        <v>2420</v>
      </c>
      <c r="M71" s="1730" t="s">
        <v>2420</v>
      </c>
    </row>
    <row r="72" spans="2:13" ht="14.4">
      <c r="B72" s="1744" t="s">
        <v>2628</v>
      </c>
      <c r="C72" s="1744">
        <v>626</v>
      </c>
      <c r="D72" s="1744" t="s">
        <v>2496</v>
      </c>
      <c r="E72" s="1744" t="s">
        <v>2497</v>
      </c>
      <c r="F72" s="1744" t="s">
        <v>2629</v>
      </c>
      <c r="G72" s="1745">
        <v>143</v>
      </c>
      <c r="H72" s="1745">
        <v>142</v>
      </c>
      <c r="I72" s="1746">
        <v>0</v>
      </c>
      <c r="J72" s="1746"/>
      <c r="K72" s="1745">
        <v>2085</v>
      </c>
      <c r="L72" s="1745" t="s">
        <v>2420</v>
      </c>
      <c r="M72" s="1730" t="s">
        <v>2420</v>
      </c>
    </row>
    <row r="73" spans="2:13" ht="14.4">
      <c r="B73" s="1744" t="s">
        <v>2440</v>
      </c>
      <c r="C73" s="1744" t="s">
        <v>2441</v>
      </c>
      <c r="D73" s="1744" t="s">
        <v>2486</v>
      </c>
      <c r="E73" s="1744" t="s">
        <v>1898</v>
      </c>
      <c r="F73" s="1744" t="s">
        <v>2487</v>
      </c>
      <c r="G73" s="1745">
        <v>6</v>
      </c>
      <c r="H73" s="1745">
        <v>6</v>
      </c>
      <c r="I73" s="1746"/>
      <c r="J73" s="1746"/>
      <c r="K73" s="1745">
        <v>2277</v>
      </c>
      <c r="L73" s="1745" t="s">
        <v>2420</v>
      </c>
      <c r="M73" s="1730" t="s">
        <v>2420</v>
      </c>
    </row>
    <row r="74" spans="2:13" ht="28.8">
      <c r="B74" s="1744" t="s">
        <v>1886</v>
      </c>
      <c r="C74" s="1744" t="s">
        <v>1887</v>
      </c>
      <c r="D74" s="1744" t="s">
        <v>1520</v>
      </c>
      <c r="E74" s="1744" t="s">
        <v>1898</v>
      </c>
      <c r="F74" s="1744" t="s">
        <v>1942</v>
      </c>
      <c r="G74" s="1745">
        <v>4</v>
      </c>
      <c r="H74" s="1745">
        <v>4</v>
      </c>
      <c r="I74" s="1746"/>
      <c r="J74" s="1746"/>
      <c r="K74" s="1745">
        <v>2134</v>
      </c>
      <c r="L74" s="1745" t="s">
        <v>2420</v>
      </c>
      <c r="M74" s="1730" t="s">
        <v>2420</v>
      </c>
    </row>
    <row r="75" spans="2:13" ht="14.4">
      <c r="B75" s="1744" t="s">
        <v>1774</v>
      </c>
      <c r="C75" s="1744">
        <v>665</v>
      </c>
      <c r="D75" s="1744" t="s">
        <v>1710</v>
      </c>
      <c r="E75" s="1744" t="s">
        <v>1898</v>
      </c>
      <c r="F75" s="1744" t="s">
        <v>1943</v>
      </c>
      <c r="G75" s="1745">
        <v>25</v>
      </c>
      <c r="H75" s="1745">
        <v>25</v>
      </c>
      <c r="I75" s="1746"/>
      <c r="J75" s="1746"/>
      <c r="K75" s="1745">
        <v>1185</v>
      </c>
      <c r="L75" s="1745" t="s">
        <v>2420</v>
      </c>
      <c r="M75" s="1730" t="s">
        <v>2420</v>
      </c>
    </row>
    <row r="76" spans="2:13" ht="28.8">
      <c r="B76" s="1744" t="s">
        <v>1870</v>
      </c>
      <c r="C76" s="1744">
        <v>666</v>
      </c>
      <c r="D76" s="1744" t="s">
        <v>1545</v>
      </c>
      <c r="E76" s="1744" t="s">
        <v>1898</v>
      </c>
      <c r="F76" s="1744" t="s">
        <v>2583</v>
      </c>
      <c r="G76" s="1745">
        <v>100</v>
      </c>
      <c r="H76" s="1745">
        <v>99</v>
      </c>
      <c r="I76" s="1746"/>
      <c r="J76" s="1746"/>
      <c r="K76" s="1745">
        <v>2055</v>
      </c>
      <c r="L76" s="1745" t="s">
        <v>2420</v>
      </c>
      <c r="M76" s="1730" t="s">
        <v>2420</v>
      </c>
    </row>
    <row r="77" spans="2:13" ht="14.4">
      <c r="B77" s="1744" t="s">
        <v>1711</v>
      </c>
      <c r="C77" s="1744">
        <v>70</v>
      </c>
      <c r="D77" s="1744" t="s">
        <v>1712</v>
      </c>
      <c r="E77" s="1744" t="s">
        <v>1898</v>
      </c>
      <c r="F77" s="1744" t="s">
        <v>1944</v>
      </c>
      <c r="G77" s="1745">
        <v>5</v>
      </c>
      <c r="H77" s="1745">
        <v>3</v>
      </c>
      <c r="I77" s="1746"/>
      <c r="J77" s="1746"/>
      <c r="K77" s="1745">
        <v>355</v>
      </c>
      <c r="L77" s="1745" t="s">
        <v>2420</v>
      </c>
      <c r="M77" s="1730" t="s">
        <v>2420</v>
      </c>
    </row>
    <row r="78" spans="2:13" ht="14.4">
      <c r="B78" s="1744" t="s">
        <v>2584</v>
      </c>
      <c r="C78" s="1744">
        <v>70</v>
      </c>
      <c r="D78" s="1744" t="s">
        <v>1888</v>
      </c>
      <c r="E78" s="1744" t="s">
        <v>1898</v>
      </c>
      <c r="F78" s="1744" t="s">
        <v>1945</v>
      </c>
      <c r="G78" s="1745">
        <v>5</v>
      </c>
      <c r="H78" s="1745">
        <v>5</v>
      </c>
      <c r="I78" s="1746"/>
      <c r="J78" s="1746"/>
      <c r="K78" s="1745">
        <v>2136</v>
      </c>
      <c r="L78" s="1745" t="s">
        <v>2420</v>
      </c>
      <c r="M78" s="1730" t="s">
        <v>2420</v>
      </c>
    </row>
    <row r="79" spans="2:13" ht="14.4">
      <c r="B79" s="1744" t="s">
        <v>1713</v>
      </c>
      <c r="C79" s="1744">
        <v>735</v>
      </c>
      <c r="D79" s="1744" t="s">
        <v>1545</v>
      </c>
      <c r="E79" s="1744" t="s">
        <v>1898</v>
      </c>
      <c r="F79" s="1744" t="s">
        <v>1946</v>
      </c>
      <c r="G79" s="1745">
        <v>30</v>
      </c>
      <c r="H79" s="1745">
        <v>30</v>
      </c>
      <c r="I79" s="1746"/>
      <c r="J79" s="1746"/>
      <c r="K79" s="1745">
        <v>366</v>
      </c>
      <c r="L79" s="1745" t="s">
        <v>2420</v>
      </c>
      <c r="M79" s="1730" t="s">
        <v>2420</v>
      </c>
    </row>
    <row r="80" spans="2:13" ht="28.8">
      <c r="B80" s="1744" t="s">
        <v>1869</v>
      </c>
      <c r="C80" s="1744">
        <v>939</v>
      </c>
      <c r="D80" s="1744" t="s">
        <v>1529</v>
      </c>
      <c r="E80" s="1744" t="s">
        <v>1898</v>
      </c>
      <c r="F80" s="1744" t="s">
        <v>2585</v>
      </c>
      <c r="G80" s="1745">
        <v>62</v>
      </c>
      <c r="H80" s="1745">
        <v>61</v>
      </c>
      <c r="I80" s="1745"/>
      <c r="J80" s="1747"/>
      <c r="K80" s="1745">
        <v>2054</v>
      </c>
      <c r="L80" s="1745" t="s">
        <v>2420</v>
      </c>
      <c r="M80" s="1730" t="s">
        <v>2420</v>
      </c>
    </row>
    <row r="81" spans="2:13" ht="14.4">
      <c r="B81" s="1744" t="s">
        <v>1863</v>
      </c>
      <c r="C81" s="1744">
        <v>990</v>
      </c>
      <c r="D81" s="1744" t="s">
        <v>1864</v>
      </c>
      <c r="E81" s="1744" t="s">
        <v>1896</v>
      </c>
      <c r="F81" s="1744" t="s">
        <v>1863</v>
      </c>
      <c r="G81" s="1745">
        <v>92</v>
      </c>
      <c r="H81" s="1745">
        <v>91</v>
      </c>
      <c r="I81" s="1746"/>
      <c r="J81" s="1746"/>
      <c r="K81" s="1745">
        <v>2044</v>
      </c>
      <c r="L81" s="1745" t="s">
        <v>2420</v>
      </c>
      <c r="M81" s="1730" t="s">
        <v>2420</v>
      </c>
    </row>
    <row r="82" spans="2:13" ht="14.4">
      <c r="B82" s="1744" t="s">
        <v>1800</v>
      </c>
      <c r="C82" s="1744">
        <v>990</v>
      </c>
      <c r="D82" s="1744" t="s">
        <v>1799</v>
      </c>
      <c r="E82" s="1744" t="s">
        <v>1898</v>
      </c>
      <c r="F82" s="1744" t="s">
        <v>1947</v>
      </c>
      <c r="G82" s="1745">
        <v>110</v>
      </c>
      <c r="H82" s="1745">
        <v>109</v>
      </c>
      <c r="I82" s="1746">
        <v>50</v>
      </c>
      <c r="J82" s="1765">
        <v>81912</v>
      </c>
      <c r="K82" s="1745">
        <v>1257</v>
      </c>
      <c r="L82" s="1745" t="s">
        <v>2420</v>
      </c>
      <c r="M82" s="1730" t="s">
        <v>2420</v>
      </c>
    </row>
    <row r="83" spans="2:13" ht="14.4">
      <c r="B83" s="1744" t="s">
        <v>1280</v>
      </c>
      <c r="C83" s="1744">
        <v>0</v>
      </c>
      <c r="D83" s="1744" t="s">
        <v>1753</v>
      </c>
      <c r="E83" s="1744" t="s">
        <v>1898</v>
      </c>
      <c r="F83" s="1744" t="s">
        <v>1948</v>
      </c>
      <c r="G83" s="1745">
        <v>11</v>
      </c>
      <c r="H83" s="1745">
        <v>0</v>
      </c>
      <c r="I83" s="1746"/>
      <c r="J83" s="1746"/>
      <c r="K83" s="1745">
        <v>1060</v>
      </c>
      <c r="L83" s="1745" t="s">
        <v>2420</v>
      </c>
      <c r="M83" s="1730" t="s">
        <v>2420</v>
      </c>
    </row>
    <row r="84" spans="2:13" ht="14.4">
      <c r="B84" s="1744" t="s">
        <v>1686</v>
      </c>
      <c r="C84" s="1744">
        <v>391</v>
      </c>
      <c r="D84" s="1744" t="s">
        <v>1687</v>
      </c>
      <c r="E84" s="1744" t="s">
        <v>1898</v>
      </c>
      <c r="F84" s="1744" t="s">
        <v>1949</v>
      </c>
      <c r="G84" s="1745">
        <v>40</v>
      </c>
      <c r="H84" s="1745">
        <v>40</v>
      </c>
      <c r="I84" s="1746"/>
      <c r="J84" s="1746"/>
      <c r="K84" s="1745">
        <v>261</v>
      </c>
      <c r="L84" s="1745" t="s">
        <v>2420</v>
      </c>
      <c r="M84" s="1730" t="s">
        <v>2420</v>
      </c>
    </row>
    <row r="85" spans="2:13" ht="28.8">
      <c r="B85" s="1744" t="s">
        <v>1337</v>
      </c>
      <c r="C85" s="1744">
        <v>1045</v>
      </c>
      <c r="D85" s="1744" t="s">
        <v>1561</v>
      </c>
      <c r="E85" s="1744" t="s">
        <v>1898</v>
      </c>
      <c r="F85" s="1744" t="s">
        <v>1950</v>
      </c>
      <c r="G85" s="1745">
        <v>30</v>
      </c>
      <c r="H85" s="1745">
        <v>30</v>
      </c>
      <c r="I85" s="1746"/>
      <c r="J85" s="1746"/>
      <c r="K85" s="1745">
        <v>13</v>
      </c>
      <c r="L85" s="1745" t="s">
        <v>2420</v>
      </c>
      <c r="M85" s="1730" t="s">
        <v>2420</v>
      </c>
    </row>
    <row r="86" spans="2:13" ht="14.4">
      <c r="B86" s="1744" t="s">
        <v>1281</v>
      </c>
      <c r="C86" s="1744">
        <v>670</v>
      </c>
      <c r="D86" s="1744" t="s">
        <v>1563</v>
      </c>
      <c r="E86" s="1744" t="s">
        <v>1898</v>
      </c>
      <c r="F86" s="1744" t="s">
        <v>1951</v>
      </c>
      <c r="G86" s="1745">
        <v>50</v>
      </c>
      <c r="H86" s="1745">
        <v>50</v>
      </c>
      <c r="I86" s="1746"/>
      <c r="J86" s="1746"/>
      <c r="K86" s="1745">
        <v>352</v>
      </c>
      <c r="L86" s="1745" t="s">
        <v>2420</v>
      </c>
      <c r="M86" s="1730" t="s">
        <v>2420</v>
      </c>
    </row>
    <row r="87" spans="2:13" ht="14.4">
      <c r="B87" s="1744" t="s">
        <v>2488</v>
      </c>
      <c r="C87" s="1744">
        <v>951</v>
      </c>
      <c r="D87" s="1744" t="s">
        <v>2489</v>
      </c>
      <c r="E87" s="1744" t="s">
        <v>1898</v>
      </c>
      <c r="F87" s="1744" t="s">
        <v>2490</v>
      </c>
      <c r="G87" s="1745">
        <v>150</v>
      </c>
      <c r="H87" s="1745">
        <v>148</v>
      </c>
      <c r="I87" s="1746"/>
      <c r="J87" s="1746"/>
      <c r="K87" s="1745">
        <v>2162</v>
      </c>
      <c r="L87" s="1745" t="s">
        <v>2420</v>
      </c>
      <c r="M87" s="1730" t="s">
        <v>2420</v>
      </c>
    </row>
    <row r="88" spans="2:13" ht="14.4">
      <c r="B88" s="1744" t="s">
        <v>1746</v>
      </c>
      <c r="C88" s="1744">
        <v>230</v>
      </c>
      <c r="D88" s="1744" t="s">
        <v>1529</v>
      </c>
      <c r="E88" s="1744" t="s">
        <v>1898</v>
      </c>
      <c r="F88" s="1744" t="s">
        <v>1952</v>
      </c>
      <c r="G88" s="1745">
        <v>179</v>
      </c>
      <c r="H88" s="1745">
        <v>178</v>
      </c>
      <c r="I88" s="1746"/>
      <c r="J88" s="1746"/>
      <c r="K88" s="1745">
        <v>1037</v>
      </c>
      <c r="L88" s="1745" t="s">
        <v>2420</v>
      </c>
      <c r="M88" s="1730" t="s">
        <v>2420</v>
      </c>
    </row>
    <row r="89" spans="2:13" ht="28.8">
      <c r="B89" s="1744" t="s">
        <v>2492</v>
      </c>
      <c r="C89" s="1744">
        <v>2500</v>
      </c>
      <c r="D89" s="1744" t="s">
        <v>2493</v>
      </c>
      <c r="E89" s="1744" t="s">
        <v>2491</v>
      </c>
      <c r="F89" s="1744" t="s">
        <v>2494</v>
      </c>
      <c r="G89" s="1745">
        <v>60</v>
      </c>
      <c r="H89" s="1745">
        <v>60</v>
      </c>
      <c r="I89" s="1746"/>
      <c r="J89" s="1746"/>
      <c r="K89" s="1745">
        <v>1978</v>
      </c>
      <c r="L89" s="1745" t="s">
        <v>2420</v>
      </c>
      <c r="M89" s="1730" t="s">
        <v>2420</v>
      </c>
    </row>
    <row r="90" spans="2:13" ht="28.8">
      <c r="B90" s="1744" t="s">
        <v>2495</v>
      </c>
      <c r="C90" s="1744">
        <v>2500</v>
      </c>
      <c r="D90" s="1744" t="s">
        <v>2493</v>
      </c>
      <c r="E90" s="1744" t="s">
        <v>2491</v>
      </c>
      <c r="F90" s="1744" t="s">
        <v>2494</v>
      </c>
      <c r="G90" s="1745">
        <v>62</v>
      </c>
      <c r="H90" s="1745">
        <v>62</v>
      </c>
      <c r="I90" s="1746"/>
      <c r="J90" s="1746"/>
      <c r="K90" s="1745">
        <v>1979</v>
      </c>
      <c r="L90" s="1745" t="s">
        <v>2420</v>
      </c>
      <c r="M90" s="1730" t="s">
        <v>2420</v>
      </c>
    </row>
    <row r="91" spans="2:13" ht="28.8">
      <c r="B91" s="1744" t="s">
        <v>2586</v>
      </c>
      <c r="C91" s="1744">
        <v>2600</v>
      </c>
      <c r="D91" s="1744" t="s">
        <v>2493</v>
      </c>
      <c r="E91" s="1744" t="s">
        <v>2491</v>
      </c>
      <c r="F91" s="1744" t="s">
        <v>2587</v>
      </c>
      <c r="G91" s="1745">
        <v>93</v>
      </c>
      <c r="H91" s="1745">
        <v>93</v>
      </c>
      <c r="I91" s="1746"/>
      <c r="J91" s="1746"/>
      <c r="K91" s="1745">
        <v>1976</v>
      </c>
      <c r="L91" s="1745" t="s">
        <v>2420</v>
      </c>
      <c r="M91" s="1730" t="s">
        <v>2420</v>
      </c>
    </row>
    <row r="92" spans="2:13" ht="28.8">
      <c r="B92" s="1744" t="s">
        <v>2588</v>
      </c>
      <c r="C92" s="1744">
        <v>2700</v>
      </c>
      <c r="D92" s="1744" t="s">
        <v>2493</v>
      </c>
      <c r="E92" s="1744" t="s">
        <v>2491</v>
      </c>
      <c r="F92" s="1744" t="s">
        <v>2589</v>
      </c>
      <c r="G92" s="1745">
        <v>91</v>
      </c>
      <c r="H92" s="1745">
        <v>91</v>
      </c>
      <c r="I92" s="1746"/>
      <c r="J92" s="1746"/>
      <c r="K92" s="1745">
        <v>1977</v>
      </c>
      <c r="L92" s="1745" t="s">
        <v>2420</v>
      </c>
      <c r="M92" s="1730" t="s">
        <v>2420</v>
      </c>
    </row>
    <row r="93" spans="2:13" ht="14.4">
      <c r="B93" s="1744" t="s">
        <v>1675</v>
      </c>
      <c r="C93" s="1744">
        <v>3048</v>
      </c>
      <c r="D93" s="1744" t="s">
        <v>1671</v>
      </c>
      <c r="E93" s="1744" t="s">
        <v>1898</v>
      </c>
      <c r="F93" s="1744" t="s">
        <v>1953</v>
      </c>
      <c r="G93" s="1745">
        <v>89</v>
      </c>
      <c r="H93" s="1745">
        <v>88</v>
      </c>
      <c r="I93" s="1746"/>
      <c r="J93" s="1746"/>
      <c r="K93" s="1745">
        <v>216</v>
      </c>
      <c r="L93" s="1745" t="s">
        <v>2420</v>
      </c>
      <c r="M93" s="1730" t="s">
        <v>2420</v>
      </c>
    </row>
    <row r="94" spans="2:13" ht="14.4">
      <c r="B94" s="1744" t="s">
        <v>1745</v>
      </c>
      <c r="C94" s="1744">
        <v>55</v>
      </c>
      <c r="D94" s="1744" t="s">
        <v>1566</v>
      </c>
      <c r="E94" s="1744" t="s">
        <v>1898</v>
      </c>
      <c r="F94" s="1744" t="s">
        <v>1954</v>
      </c>
      <c r="G94" s="1745">
        <v>134</v>
      </c>
      <c r="H94" s="1745">
        <v>134</v>
      </c>
      <c r="I94" s="1746"/>
      <c r="J94" s="1746"/>
      <c r="K94" s="1745">
        <v>1028</v>
      </c>
      <c r="L94" s="1745" t="s">
        <v>2420</v>
      </c>
      <c r="M94" s="1730" t="s">
        <v>2420</v>
      </c>
    </row>
    <row r="95" spans="2:13" ht="14.4">
      <c r="B95" s="1744" t="s">
        <v>1751</v>
      </c>
      <c r="C95" s="1744">
        <v>180</v>
      </c>
      <c r="D95" s="1744" t="s">
        <v>1521</v>
      </c>
      <c r="E95" s="1744" t="s">
        <v>1898</v>
      </c>
      <c r="F95" s="1744" t="s">
        <v>1955</v>
      </c>
      <c r="G95" s="1745">
        <v>133</v>
      </c>
      <c r="H95" s="1745">
        <v>133</v>
      </c>
      <c r="I95" s="1746"/>
      <c r="J95" s="1746"/>
      <c r="K95" s="1745">
        <v>1047</v>
      </c>
      <c r="L95" s="1745" t="s">
        <v>2420</v>
      </c>
      <c r="M95" s="1730" t="s">
        <v>2420</v>
      </c>
    </row>
    <row r="96" spans="2:13" ht="14.4">
      <c r="B96" s="1744" t="s">
        <v>1690</v>
      </c>
      <c r="C96" s="1744">
        <v>420</v>
      </c>
      <c r="D96" s="1744" t="s">
        <v>1563</v>
      </c>
      <c r="E96" s="1744" t="s">
        <v>1898</v>
      </c>
      <c r="F96" s="1744" t="s">
        <v>1956</v>
      </c>
      <c r="G96" s="1745">
        <v>81</v>
      </c>
      <c r="H96" s="1745">
        <v>80</v>
      </c>
      <c r="I96" s="1745"/>
      <c r="J96" s="1747"/>
      <c r="K96" s="1745">
        <v>268</v>
      </c>
      <c r="L96" s="1745" t="s">
        <v>2420</v>
      </c>
      <c r="M96" s="1730" t="s">
        <v>2420</v>
      </c>
    </row>
    <row r="97" spans="2:13" ht="14.4">
      <c r="B97" s="1744" t="s">
        <v>2590</v>
      </c>
      <c r="C97" s="1744">
        <v>1099</v>
      </c>
      <c r="D97" s="1744" t="s">
        <v>1858</v>
      </c>
      <c r="E97" s="1744" t="s">
        <v>1898</v>
      </c>
      <c r="F97" s="1744" t="s">
        <v>2591</v>
      </c>
      <c r="G97" s="1745">
        <v>17</v>
      </c>
      <c r="H97" s="1745">
        <v>16</v>
      </c>
      <c r="I97" s="1745"/>
      <c r="J97" s="1747"/>
      <c r="K97" s="1745">
        <v>2008</v>
      </c>
      <c r="L97" s="1745" t="s">
        <v>2420</v>
      </c>
      <c r="M97" s="1730" t="s">
        <v>2420</v>
      </c>
    </row>
    <row r="98" spans="2:13" ht="14.4">
      <c r="B98" s="1744" t="s">
        <v>1698</v>
      </c>
      <c r="C98" s="1744">
        <v>472</v>
      </c>
      <c r="D98" s="1744" t="s">
        <v>1545</v>
      </c>
      <c r="E98" s="1744" t="s">
        <v>1898</v>
      </c>
      <c r="F98" s="1744" t="s">
        <v>1957</v>
      </c>
      <c r="G98" s="1745">
        <v>154</v>
      </c>
      <c r="H98" s="1745">
        <v>153</v>
      </c>
      <c r="I98" s="1745">
        <v>85</v>
      </c>
      <c r="J98" s="1747">
        <v>133944</v>
      </c>
      <c r="K98" s="1745">
        <v>289</v>
      </c>
      <c r="L98" s="1745" t="s">
        <v>2420</v>
      </c>
      <c r="M98" s="1730" t="s">
        <v>2420</v>
      </c>
    </row>
    <row r="99" spans="2:13" ht="14.4">
      <c r="B99" s="1744" t="s">
        <v>1802</v>
      </c>
      <c r="C99" s="1744">
        <v>5600</v>
      </c>
      <c r="D99" s="1744" t="s">
        <v>1719</v>
      </c>
      <c r="E99" s="1744" t="s">
        <v>1898</v>
      </c>
      <c r="F99" s="1744" t="s">
        <v>1958</v>
      </c>
      <c r="G99" s="1745">
        <v>116</v>
      </c>
      <c r="H99" s="1745">
        <v>116</v>
      </c>
      <c r="I99" s="1746">
        <v>23</v>
      </c>
      <c r="J99" s="1765">
        <v>194158</v>
      </c>
      <c r="K99" s="1745">
        <v>1306</v>
      </c>
      <c r="L99" s="1745" t="s">
        <v>2420</v>
      </c>
      <c r="M99" s="1730" t="s">
        <v>2420</v>
      </c>
    </row>
    <row r="100" spans="2:13" ht="28.8">
      <c r="B100" s="1744" t="s">
        <v>1817</v>
      </c>
      <c r="C100" s="1744">
        <v>650</v>
      </c>
      <c r="D100" s="1744" t="s">
        <v>1529</v>
      </c>
      <c r="E100" s="1744" t="s">
        <v>1898</v>
      </c>
      <c r="F100" s="1744" t="s">
        <v>1959</v>
      </c>
      <c r="G100" s="1745">
        <v>83</v>
      </c>
      <c r="H100" s="1745">
        <v>83</v>
      </c>
      <c r="I100" s="1746">
        <v>84</v>
      </c>
      <c r="J100" s="1765">
        <v>1000025</v>
      </c>
      <c r="K100" s="1745">
        <v>1440</v>
      </c>
      <c r="L100" s="1745" t="s">
        <v>2420</v>
      </c>
      <c r="M100" s="1730" t="s">
        <v>2420</v>
      </c>
    </row>
    <row r="101" spans="2:13" ht="14.4">
      <c r="B101" s="1744" t="s">
        <v>1282</v>
      </c>
      <c r="C101" s="1744">
        <v>654</v>
      </c>
      <c r="D101" s="1744" t="s">
        <v>1567</v>
      </c>
      <c r="E101" s="1744" t="s">
        <v>1898</v>
      </c>
      <c r="F101" s="1744" t="s">
        <v>1960</v>
      </c>
      <c r="G101" s="1745">
        <v>15</v>
      </c>
      <c r="H101" s="1745">
        <v>0</v>
      </c>
      <c r="I101" s="1746"/>
      <c r="J101" s="1746"/>
      <c r="K101" s="1745">
        <v>998</v>
      </c>
      <c r="L101" s="1745" t="s">
        <v>2420</v>
      </c>
      <c r="M101" s="1730" t="s">
        <v>2420</v>
      </c>
    </row>
    <row r="102" spans="2:13" ht="14.4">
      <c r="B102" s="1744" t="s">
        <v>1283</v>
      </c>
      <c r="C102" s="1744">
        <v>733</v>
      </c>
      <c r="D102" s="1744" t="s">
        <v>1533</v>
      </c>
      <c r="E102" s="1744" t="s">
        <v>1898</v>
      </c>
      <c r="F102" s="1744" t="s">
        <v>1961</v>
      </c>
      <c r="G102" s="1745">
        <v>13</v>
      </c>
      <c r="H102" s="1745">
        <v>0</v>
      </c>
      <c r="I102" s="1746"/>
      <c r="J102" s="1746"/>
      <c r="K102" s="1745">
        <v>365</v>
      </c>
      <c r="L102" s="1745" t="s">
        <v>2420</v>
      </c>
      <c r="M102" s="1730" t="s">
        <v>2420</v>
      </c>
    </row>
    <row r="103" spans="2:13" ht="14.4">
      <c r="B103" s="1744" t="s">
        <v>1749</v>
      </c>
      <c r="C103" s="1744">
        <v>88</v>
      </c>
      <c r="D103" s="1744" t="s">
        <v>1743</v>
      </c>
      <c r="E103" s="1744" t="s">
        <v>1898</v>
      </c>
      <c r="F103" s="1744" t="s">
        <v>1962</v>
      </c>
      <c r="G103" s="1745">
        <v>152</v>
      </c>
      <c r="H103" s="1745">
        <v>151</v>
      </c>
      <c r="I103" s="1746"/>
      <c r="J103" s="1746"/>
      <c r="K103" s="1745">
        <v>1044</v>
      </c>
      <c r="L103" s="1745" t="s">
        <v>2420</v>
      </c>
      <c r="M103" s="1730" t="s">
        <v>2420</v>
      </c>
    </row>
    <row r="104" spans="2:13" ht="28.8">
      <c r="B104" s="1744" t="s">
        <v>1714</v>
      </c>
      <c r="C104" s="1744">
        <v>777</v>
      </c>
      <c r="D104" s="1744" t="s">
        <v>1624</v>
      </c>
      <c r="E104" s="1744" t="s">
        <v>2420</v>
      </c>
      <c r="F104" s="1744" t="s">
        <v>2443</v>
      </c>
      <c r="G104" s="1745">
        <v>31</v>
      </c>
      <c r="H104" s="1745">
        <v>30</v>
      </c>
      <c r="I104" s="1746"/>
      <c r="J104" s="1746"/>
      <c r="K104" s="1745">
        <v>376</v>
      </c>
      <c r="L104" s="1745" t="s">
        <v>2420</v>
      </c>
      <c r="M104" s="1730" t="s">
        <v>2420</v>
      </c>
    </row>
    <row r="105" spans="2:13" ht="14.4">
      <c r="B105" s="1744" t="s">
        <v>1750</v>
      </c>
      <c r="C105" s="1744">
        <v>4445</v>
      </c>
      <c r="D105" s="1744" t="s">
        <v>1719</v>
      </c>
      <c r="E105" s="1744" t="s">
        <v>1898</v>
      </c>
      <c r="F105" s="1744" t="s">
        <v>1963</v>
      </c>
      <c r="G105" s="1745">
        <v>30</v>
      </c>
      <c r="H105" s="1745">
        <v>29</v>
      </c>
      <c r="I105" s="1745"/>
      <c r="J105" s="1747"/>
      <c r="K105" s="1745">
        <v>1046</v>
      </c>
      <c r="L105" s="1745" t="s">
        <v>2420</v>
      </c>
      <c r="M105" s="1730" t="s">
        <v>2420</v>
      </c>
    </row>
    <row r="106" spans="2:13" ht="14.4">
      <c r="B106" s="1744" t="s">
        <v>1848</v>
      </c>
      <c r="C106" s="1744">
        <v>1075</v>
      </c>
      <c r="D106" s="1744" t="s">
        <v>1849</v>
      </c>
      <c r="E106" s="1744" t="s">
        <v>1902</v>
      </c>
      <c r="F106" s="1744" t="s">
        <v>1964</v>
      </c>
      <c r="G106" s="1745">
        <v>73</v>
      </c>
      <c r="H106" s="1745">
        <v>72</v>
      </c>
      <c r="I106" s="1746">
        <v>73</v>
      </c>
      <c r="J106" s="1765">
        <v>0</v>
      </c>
      <c r="K106" s="1745">
        <v>1828</v>
      </c>
      <c r="L106" s="1745" t="s">
        <v>2420</v>
      </c>
      <c r="M106" s="1730" t="s">
        <v>2420</v>
      </c>
    </row>
    <row r="107" spans="2:13" ht="14.4">
      <c r="B107" s="1744" t="s">
        <v>2630</v>
      </c>
      <c r="C107" s="1744">
        <v>3138</v>
      </c>
      <c r="D107" s="1744" t="s">
        <v>2631</v>
      </c>
      <c r="E107" s="1744"/>
      <c r="F107" s="1744" t="s">
        <v>2632</v>
      </c>
      <c r="G107" s="1745">
        <v>159</v>
      </c>
      <c r="H107" s="1745">
        <v>159</v>
      </c>
      <c r="I107" s="1746"/>
      <c r="J107" s="1746"/>
      <c r="K107" s="1745">
        <v>2315</v>
      </c>
      <c r="L107" s="1745" t="s">
        <v>2420</v>
      </c>
      <c r="M107" s="1730" t="s">
        <v>2420</v>
      </c>
    </row>
    <row r="108" spans="2:13" ht="14.4">
      <c r="B108" s="1744" t="s">
        <v>1676</v>
      </c>
      <c r="C108" s="1744">
        <v>3101</v>
      </c>
      <c r="D108" s="1744" t="s">
        <v>1649</v>
      </c>
      <c r="E108" s="1744" t="s">
        <v>1898</v>
      </c>
      <c r="F108" s="1744" t="s">
        <v>1965</v>
      </c>
      <c r="G108" s="1745">
        <v>55</v>
      </c>
      <c r="H108" s="1745">
        <v>55</v>
      </c>
      <c r="I108" s="1745"/>
      <c r="J108" s="1747"/>
      <c r="K108" s="1745">
        <v>220</v>
      </c>
      <c r="L108" s="1745" t="s">
        <v>2420</v>
      </c>
      <c r="M108" s="1730" t="s">
        <v>2420</v>
      </c>
    </row>
    <row r="109" spans="2:13" ht="28.8">
      <c r="B109" s="1744" t="s">
        <v>2592</v>
      </c>
      <c r="C109" s="1744">
        <v>1009</v>
      </c>
      <c r="D109" s="1744" t="s">
        <v>1543</v>
      </c>
      <c r="E109" s="1744" t="s">
        <v>1898</v>
      </c>
      <c r="F109" s="1744" t="s">
        <v>2593</v>
      </c>
      <c r="G109" s="1745">
        <v>67</v>
      </c>
      <c r="H109" s="1745">
        <v>66</v>
      </c>
      <c r="I109" s="1746"/>
      <c r="J109" s="1746"/>
      <c r="K109" s="1745">
        <v>1832</v>
      </c>
      <c r="L109" s="1745" t="s">
        <v>2420</v>
      </c>
      <c r="M109" s="1730" t="s">
        <v>2420</v>
      </c>
    </row>
    <row r="110" spans="2:13" ht="28.8">
      <c r="B110" s="1744" t="s">
        <v>1818</v>
      </c>
      <c r="C110" s="1744">
        <v>275</v>
      </c>
      <c r="D110" s="1744" t="s">
        <v>1819</v>
      </c>
      <c r="E110" s="1744" t="s">
        <v>1898</v>
      </c>
      <c r="F110" s="1744" t="s">
        <v>1966</v>
      </c>
      <c r="G110" s="1745">
        <v>135</v>
      </c>
      <c r="H110" s="1745">
        <v>134</v>
      </c>
      <c r="I110" s="1746">
        <v>135</v>
      </c>
      <c r="J110" s="1765">
        <v>0</v>
      </c>
      <c r="K110" s="1745">
        <v>1441</v>
      </c>
      <c r="L110" s="1745" t="s">
        <v>2420</v>
      </c>
      <c r="M110" s="1730" t="s">
        <v>2420</v>
      </c>
    </row>
    <row r="111" spans="2:13" ht="14.4">
      <c r="B111" s="1744" t="s">
        <v>1284</v>
      </c>
      <c r="C111" s="1744">
        <v>0</v>
      </c>
      <c r="D111" s="1744" t="s">
        <v>1530</v>
      </c>
      <c r="E111" s="1744" t="s">
        <v>2420</v>
      </c>
      <c r="F111" s="1744" t="s">
        <v>2442</v>
      </c>
      <c r="G111" s="1745">
        <v>15</v>
      </c>
      <c r="H111" s="1745">
        <v>15</v>
      </c>
      <c r="I111" s="1746"/>
      <c r="J111" s="1746"/>
      <c r="K111" s="1745">
        <v>2</v>
      </c>
      <c r="L111" s="1745" t="s">
        <v>2420</v>
      </c>
      <c r="M111" s="1730" t="s">
        <v>2420</v>
      </c>
    </row>
    <row r="112" spans="2:13" ht="14.4">
      <c r="B112" s="1744" t="s">
        <v>1638</v>
      </c>
      <c r="C112" s="1744">
        <v>1250</v>
      </c>
      <c r="D112" s="1744" t="s">
        <v>1639</v>
      </c>
      <c r="E112" s="1744" t="s">
        <v>1902</v>
      </c>
      <c r="F112" s="1744" t="s">
        <v>1967</v>
      </c>
      <c r="G112" s="1745">
        <v>92</v>
      </c>
      <c r="H112" s="1745">
        <v>92</v>
      </c>
      <c r="I112" s="1746"/>
      <c r="J112" s="1765"/>
      <c r="K112" s="1745">
        <v>90</v>
      </c>
      <c r="L112" s="1745" t="s">
        <v>2420</v>
      </c>
      <c r="M112" s="1730" t="s">
        <v>2420</v>
      </c>
    </row>
    <row r="113" spans="2:13" ht="28.8">
      <c r="B113" s="1744" t="s">
        <v>1623</v>
      </c>
      <c r="C113" s="1744">
        <v>150</v>
      </c>
      <c r="D113" s="1744" t="s">
        <v>1624</v>
      </c>
      <c r="E113" s="1744" t="s">
        <v>2420</v>
      </c>
      <c r="F113" s="1744" t="s">
        <v>2444</v>
      </c>
      <c r="G113" s="1745">
        <v>81</v>
      </c>
      <c r="H113" s="1745">
        <v>66</v>
      </c>
      <c r="I113" s="1745"/>
      <c r="J113" s="1747"/>
      <c r="K113" s="1745">
        <v>1092</v>
      </c>
      <c r="L113" s="1745" t="s">
        <v>2420</v>
      </c>
      <c r="M113" s="1730" t="s">
        <v>2420</v>
      </c>
    </row>
    <row r="114" spans="2:13" ht="28.8">
      <c r="B114" s="1744" t="s">
        <v>1832</v>
      </c>
      <c r="C114" s="1744" t="s">
        <v>1833</v>
      </c>
      <c r="D114" s="1744" t="s">
        <v>1624</v>
      </c>
      <c r="E114" s="1744" t="s">
        <v>1898</v>
      </c>
      <c r="F114" s="1744" t="s">
        <v>1968</v>
      </c>
      <c r="G114" s="1745">
        <v>75</v>
      </c>
      <c r="H114" s="1745">
        <v>74</v>
      </c>
      <c r="I114" s="1746">
        <v>36</v>
      </c>
      <c r="J114" s="1765">
        <v>494008</v>
      </c>
      <c r="K114" s="1745">
        <v>1586</v>
      </c>
      <c r="L114" s="1745" t="s">
        <v>2420</v>
      </c>
      <c r="M114" s="1730" t="s">
        <v>2420</v>
      </c>
    </row>
    <row r="115" spans="2:13" ht="28.8">
      <c r="B115" s="1744" t="s">
        <v>1768</v>
      </c>
      <c r="C115" s="1744">
        <v>2800</v>
      </c>
      <c r="D115" s="1744" t="s">
        <v>1532</v>
      </c>
      <c r="E115" s="1744" t="s">
        <v>1898</v>
      </c>
      <c r="F115" s="1744" t="s">
        <v>1969</v>
      </c>
      <c r="G115" s="1745">
        <v>7</v>
      </c>
      <c r="H115" s="1745">
        <v>7</v>
      </c>
      <c r="I115" s="1746"/>
      <c r="J115" s="1746"/>
      <c r="K115" s="1745">
        <v>1155</v>
      </c>
      <c r="L115" s="1745" t="s">
        <v>2420</v>
      </c>
      <c r="M115" s="1730" t="s">
        <v>2420</v>
      </c>
    </row>
    <row r="116" spans="2:13" ht="14.4">
      <c r="B116" s="1744" t="s">
        <v>1794</v>
      </c>
      <c r="C116" s="1744">
        <v>1250</v>
      </c>
      <c r="D116" s="1744" t="s">
        <v>1557</v>
      </c>
      <c r="E116" s="1744" t="s">
        <v>1898</v>
      </c>
      <c r="F116" s="1744" t="s">
        <v>1970</v>
      </c>
      <c r="G116" s="1745">
        <v>40</v>
      </c>
      <c r="H116" s="1745">
        <v>39</v>
      </c>
      <c r="I116" s="1746"/>
      <c r="J116" s="1746"/>
      <c r="K116" s="1745">
        <v>1249</v>
      </c>
      <c r="L116" s="1745" t="s">
        <v>2420</v>
      </c>
      <c r="M116" s="1730" t="s">
        <v>2420</v>
      </c>
    </row>
    <row r="117" spans="2:13" ht="14.4">
      <c r="B117" s="1744" t="s">
        <v>1285</v>
      </c>
      <c r="C117" s="1744">
        <v>380</v>
      </c>
      <c r="D117" s="1744" t="s">
        <v>1529</v>
      </c>
      <c r="E117" s="1744" t="s">
        <v>1898</v>
      </c>
      <c r="F117" s="1744" t="s">
        <v>1971</v>
      </c>
      <c r="G117" s="1745">
        <v>158</v>
      </c>
      <c r="H117" s="1745">
        <v>158</v>
      </c>
      <c r="I117" s="1746"/>
      <c r="J117" s="1746"/>
      <c r="K117" s="1745">
        <v>257</v>
      </c>
      <c r="L117" s="1745" t="s">
        <v>2420</v>
      </c>
      <c r="M117" s="1730" t="s">
        <v>2420</v>
      </c>
    </row>
    <row r="118" spans="2:13" ht="14.4">
      <c r="B118" s="1744" t="s">
        <v>1696</v>
      </c>
      <c r="C118" s="1744">
        <v>473</v>
      </c>
      <c r="D118" s="1744" t="s">
        <v>1545</v>
      </c>
      <c r="E118" s="1744" t="s">
        <v>1898</v>
      </c>
      <c r="F118" s="1744" t="s">
        <v>1972</v>
      </c>
      <c r="G118" s="1745">
        <v>60</v>
      </c>
      <c r="H118" s="1745">
        <v>60</v>
      </c>
      <c r="I118" s="1746"/>
      <c r="J118" s="1746"/>
      <c r="K118" s="1745">
        <v>286</v>
      </c>
      <c r="L118" s="1745" t="s">
        <v>2420</v>
      </c>
      <c r="M118" s="1730" t="s">
        <v>2420</v>
      </c>
    </row>
    <row r="119" spans="2:13" ht="14.4">
      <c r="B119" s="1744" t="s">
        <v>1700</v>
      </c>
      <c r="C119" s="1744">
        <v>481</v>
      </c>
      <c r="D119" s="1744" t="s">
        <v>1529</v>
      </c>
      <c r="E119" s="1744" t="s">
        <v>1898</v>
      </c>
      <c r="F119" s="1744" t="s">
        <v>1973</v>
      </c>
      <c r="G119" s="1745">
        <v>31</v>
      </c>
      <c r="H119" s="1745">
        <v>30</v>
      </c>
      <c r="I119" s="1746"/>
      <c r="J119" s="1746"/>
      <c r="K119" s="1745">
        <v>291</v>
      </c>
      <c r="L119" s="1745" t="s">
        <v>2420</v>
      </c>
      <c r="M119" s="1730" t="s">
        <v>2420</v>
      </c>
    </row>
    <row r="120" spans="2:13" ht="14.4">
      <c r="B120" s="1744" t="s">
        <v>1286</v>
      </c>
      <c r="C120" s="1744">
        <v>424</v>
      </c>
      <c r="D120" s="1744" t="s">
        <v>1520</v>
      </c>
      <c r="E120" s="1744" t="s">
        <v>1898</v>
      </c>
      <c r="F120" s="1744" t="s">
        <v>1974</v>
      </c>
      <c r="G120" s="1745">
        <v>11</v>
      </c>
      <c r="H120" s="1745">
        <v>11</v>
      </c>
      <c r="I120" s="1746"/>
      <c r="J120" s="1746"/>
      <c r="K120" s="1745">
        <v>1183</v>
      </c>
      <c r="L120" s="1745" t="s">
        <v>2420</v>
      </c>
      <c r="M120" s="1730" t="s">
        <v>2420</v>
      </c>
    </row>
    <row r="121" spans="2:13" ht="28.8">
      <c r="B121" s="1744" t="s">
        <v>1729</v>
      </c>
      <c r="C121" s="1744">
        <v>670</v>
      </c>
      <c r="D121" s="1744" t="s">
        <v>1522</v>
      </c>
      <c r="E121" s="1744" t="s">
        <v>1898</v>
      </c>
      <c r="F121" s="1744" t="s">
        <v>1975</v>
      </c>
      <c r="G121" s="1745">
        <v>48</v>
      </c>
      <c r="H121" s="1745">
        <v>48</v>
      </c>
      <c r="I121" s="1746"/>
      <c r="J121" s="1746"/>
      <c r="K121" s="1745">
        <v>965</v>
      </c>
      <c r="L121" s="1745" t="s">
        <v>2420</v>
      </c>
      <c r="M121" s="1730" t="s">
        <v>2420</v>
      </c>
    </row>
    <row r="122" spans="2:13" ht="28.8">
      <c r="B122" s="1744" t="s">
        <v>1287</v>
      </c>
      <c r="C122" s="1744">
        <v>705</v>
      </c>
      <c r="D122" s="1744" t="s">
        <v>1522</v>
      </c>
      <c r="E122" s="1744" t="s">
        <v>1898</v>
      </c>
      <c r="F122" s="1744" t="s">
        <v>1976</v>
      </c>
      <c r="G122" s="1745">
        <v>104</v>
      </c>
      <c r="H122" s="1745">
        <v>103</v>
      </c>
      <c r="I122" s="1746"/>
      <c r="J122" s="1746"/>
      <c r="K122" s="1745">
        <v>359</v>
      </c>
      <c r="L122" s="1745" t="s">
        <v>2420</v>
      </c>
      <c r="M122" s="1730" t="s">
        <v>2420</v>
      </c>
    </row>
    <row r="123" spans="2:13" ht="28.8">
      <c r="B123" s="1744" t="s">
        <v>1715</v>
      </c>
      <c r="C123" s="1744">
        <v>890</v>
      </c>
      <c r="D123" s="1744" t="s">
        <v>1561</v>
      </c>
      <c r="E123" s="1744" t="s">
        <v>1898</v>
      </c>
      <c r="F123" s="1744" t="s">
        <v>1977</v>
      </c>
      <c r="G123" s="1745">
        <v>4</v>
      </c>
      <c r="H123" s="1745">
        <v>4</v>
      </c>
      <c r="I123" s="1746"/>
      <c r="J123" s="1746"/>
      <c r="K123" s="1745">
        <v>394</v>
      </c>
      <c r="L123" s="1745" t="s">
        <v>2420</v>
      </c>
      <c r="M123" s="1730" t="s">
        <v>2420</v>
      </c>
    </row>
    <row r="124" spans="2:13" ht="14.4">
      <c r="B124" s="1744" t="s">
        <v>1688</v>
      </c>
      <c r="C124" s="1744">
        <v>391</v>
      </c>
      <c r="D124" s="1744" t="s">
        <v>1563</v>
      </c>
      <c r="E124" s="1744" t="s">
        <v>1898</v>
      </c>
      <c r="F124" s="1744" t="s">
        <v>1978</v>
      </c>
      <c r="G124" s="1745">
        <v>40</v>
      </c>
      <c r="H124" s="1745">
        <v>24</v>
      </c>
      <c r="I124" s="1746"/>
      <c r="J124" s="1746"/>
      <c r="K124" s="1745">
        <v>262</v>
      </c>
      <c r="L124" s="1745" t="s">
        <v>2420</v>
      </c>
      <c r="M124" s="1730" t="s">
        <v>2420</v>
      </c>
    </row>
    <row r="125" spans="2:13" ht="14.4">
      <c r="B125" s="1744" t="s">
        <v>1777</v>
      </c>
      <c r="C125" s="1744">
        <v>530</v>
      </c>
      <c r="D125" s="1744" t="s">
        <v>1778</v>
      </c>
      <c r="E125" s="1744" t="s">
        <v>1898</v>
      </c>
      <c r="F125" s="1744" t="s">
        <v>1980</v>
      </c>
      <c r="G125" s="1745">
        <v>101</v>
      </c>
      <c r="H125" s="1745">
        <v>100</v>
      </c>
      <c r="I125" s="1746"/>
      <c r="J125" s="1765"/>
      <c r="K125" s="1745">
        <v>1188</v>
      </c>
      <c r="L125" s="1745" t="s">
        <v>2420</v>
      </c>
      <c r="M125" s="1730" t="s">
        <v>2420</v>
      </c>
    </row>
    <row r="126" spans="2:13" ht="14.4">
      <c r="B126" s="1744" t="s">
        <v>1288</v>
      </c>
      <c r="C126" s="1744">
        <v>1724</v>
      </c>
      <c r="D126" s="1744" t="s">
        <v>1532</v>
      </c>
      <c r="E126" s="1744" t="s">
        <v>1898</v>
      </c>
      <c r="F126" s="1744" t="s">
        <v>1981</v>
      </c>
      <c r="G126" s="1745">
        <v>4</v>
      </c>
      <c r="H126" s="1745">
        <v>4</v>
      </c>
      <c r="I126" s="1745"/>
      <c r="J126" s="1747"/>
      <c r="K126" s="1745">
        <v>123</v>
      </c>
      <c r="L126" s="1745" t="s">
        <v>2420</v>
      </c>
      <c r="M126" s="1730" t="s">
        <v>2420</v>
      </c>
    </row>
    <row r="127" spans="2:13" ht="14.4">
      <c r="B127" s="1744" t="s">
        <v>1289</v>
      </c>
      <c r="C127" s="1744">
        <v>35</v>
      </c>
      <c r="D127" s="1744" t="s">
        <v>1556</v>
      </c>
      <c r="E127" s="1744" t="s">
        <v>1898</v>
      </c>
      <c r="F127" s="1744" t="s">
        <v>1982</v>
      </c>
      <c r="G127" s="1745">
        <v>52</v>
      </c>
      <c r="H127" s="1745">
        <v>52</v>
      </c>
      <c r="I127" s="1746">
        <v>52</v>
      </c>
      <c r="J127" s="1765">
        <v>612794</v>
      </c>
      <c r="K127" s="1745">
        <v>245</v>
      </c>
      <c r="L127" s="1745" t="s">
        <v>2420</v>
      </c>
      <c r="M127" s="1730" t="s">
        <v>2420</v>
      </c>
    </row>
    <row r="128" spans="2:13" ht="28.8">
      <c r="B128" s="1744" t="s">
        <v>1720</v>
      </c>
      <c r="C128" s="1744">
        <v>333</v>
      </c>
      <c r="D128" s="1744" t="s">
        <v>1721</v>
      </c>
      <c r="E128" s="1744" t="s">
        <v>1898</v>
      </c>
      <c r="F128" s="1744" t="s">
        <v>1983</v>
      </c>
      <c r="G128" s="1745">
        <v>52</v>
      </c>
      <c r="H128" s="1745">
        <v>52</v>
      </c>
      <c r="I128" s="1746"/>
      <c r="J128" s="1746"/>
      <c r="K128" s="1745">
        <v>491</v>
      </c>
      <c r="L128" s="1745" t="s">
        <v>2420</v>
      </c>
      <c r="M128" s="1730" t="s">
        <v>2420</v>
      </c>
    </row>
    <row r="129" spans="2:13" ht="28.8">
      <c r="B129" s="1744" t="s">
        <v>2445</v>
      </c>
      <c r="C129" s="1744" t="s">
        <v>1572</v>
      </c>
      <c r="D129" s="1744" t="s">
        <v>1558</v>
      </c>
      <c r="E129" s="1744" t="s">
        <v>2123</v>
      </c>
      <c r="F129" s="1744" t="s">
        <v>2125</v>
      </c>
      <c r="G129" s="1745">
        <v>12</v>
      </c>
      <c r="H129" s="1745">
        <v>12</v>
      </c>
      <c r="I129" s="1746"/>
      <c r="J129" s="1746"/>
      <c r="K129" s="1745">
        <v>1644</v>
      </c>
      <c r="L129" s="1745" t="s">
        <v>2420</v>
      </c>
      <c r="M129" s="1730" t="s">
        <v>2420</v>
      </c>
    </row>
    <row r="130" spans="2:13" ht="28.8">
      <c r="B130" s="1744" t="s">
        <v>1775</v>
      </c>
      <c r="C130" s="1744">
        <v>1</v>
      </c>
      <c r="D130" s="1744" t="s">
        <v>1776</v>
      </c>
      <c r="E130" s="1744" t="s">
        <v>1898</v>
      </c>
      <c r="F130" s="1744" t="s">
        <v>1984</v>
      </c>
      <c r="G130" s="1745">
        <v>93</v>
      </c>
      <c r="H130" s="1745">
        <v>92</v>
      </c>
      <c r="I130" s="1746"/>
      <c r="J130" s="1746"/>
      <c r="K130" s="1745">
        <v>1187</v>
      </c>
      <c r="L130" s="1745" t="s">
        <v>2420</v>
      </c>
      <c r="M130" s="1730" t="s">
        <v>2420</v>
      </c>
    </row>
    <row r="131" spans="2:13" ht="14.4">
      <c r="B131" s="1744" t="s">
        <v>1692</v>
      </c>
      <c r="C131" s="1744">
        <v>44</v>
      </c>
      <c r="D131" s="1744" t="s">
        <v>1555</v>
      </c>
      <c r="E131" s="1744" t="s">
        <v>1898</v>
      </c>
      <c r="F131" s="1744" t="s">
        <v>1985</v>
      </c>
      <c r="G131" s="1745">
        <v>212</v>
      </c>
      <c r="H131" s="1745">
        <v>211</v>
      </c>
      <c r="I131" s="1746"/>
      <c r="J131" s="1746"/>
      <c r="K131" s="1745">
        <v>276</v>
      </c>
      <c r="L131" s="1745" t="s">
        <v>2420</v>
      </c>
      <c r="M131" s="1730" t="s">
        <v>2420</v>
      </c>
    </row>
    <row r="132" spans="2:13" ht="14.4">
      <c r="B132" s="1744" t="s">
        <v>1709</v>
      </c>
      <c r="C132" s="1744">
        <v>657</v>
      </c>
      <c r="D132" s="1744" t="s">
        <v>1710</v>
      </c>
      <c r="E132" s="1744" t="s">
        <v>1898</v>
      </c>
      <c r="F132" s="1744" t="s">
        <v>1986</v>
      </c>
      <c r="G132" s="1745">
        <v>82</v>
      </c>
      <c r="H132" s="1745">
        <v>81</v>
      </c>
      <c r="I132" s="1746"/>
      <c r="J132" s="1746"/>
      <c r="K132" s="1745">
        <v>343</v>
      </c>
      <c r="L132" s="1745" t="s">
        <v>2420</v>
      </c>
      <c r="M132" s="1730" t="s">
        <v>2420</v>
      </c>
    </row>
    <row r="133" spans="2:13" ht="14.4">
      <c r="B133" s="1744" t="s">
        <v>2500</v>
      </c>
      <c r="C133" s="1744" t="s">
        <v>2501</v>
      </c>
      <c r="D133" s="1744" t="s">
        <v>2499</v>
      </c>
      <c r="E133" s="1744" t="s">
        <v>1898</v>
      </c>
      <c r="F133" s="1744" t="s">
        <v>2502</v>
      </c>
      <c r="G133" s="1745">
        <v>276</v>
      </c>
      <c r="H133" s="1745">
        <v>274</v>
      </c>
      <c r="I133" s="1746"/>
      <c r="J133" s="1746"/>
      <c r="K133" s="1745">
        <v>2160</v>
      </c>
      <c r="L133" s="1745" t="s">
        <v>2420</v>
      </c>
      <c r="M133" s="1730" t="s">
        <v>2420</v>
      </c>
    </row>
    <row r="134" spans="2:13" ht="14.4">
      <c r="B134" s="1744" t="s">
        <v>1650</v>
      </c>
      <c r="C134" s="1744">
        <v>190</v>
      </c>
      <c r="D134" s="1744" t="s">
        <v>1651</v>
      </c>
      <c r="E134" s="1744" t="s">
        <v>1898</v>
      </c>
      <c r="F134" s="1744" t="s">
        <v>1987</v>
      </c>
      <c r="G134" s="1745">
        <v>49</v>
      </c>
      <c r="H134" s="1745">
        <v>49</v>
      </c>
      <c r="I134" s="1746"/>
      <c r="J134" s="1746"/>
      <c r="K134" s="1745">
        <v>143</v>
      </c>
      <c r="L134" s="1745" t="s">
        <v>2420</v>
      </c>
      <c r="M134" s="1730" t="s">
        <v>2420</v>
      </c>
    </row>
    <row r="135" spans="2:13" ht="14.4">
      <c r="B135" s="1744" t="s">
        <v>1740</v>
      </c>
      <c r="C135" s="1744">
        <v>1035</v>
      </c>
      <c r="D135" s="1744" t="s">
        <v>1741</v>
      </c>
      <c r="E135" s="1744" t="s">
        <v>1898</v>
      </c>
      <c r="F135" s="1744" t="s">
        <v>1988</v>
      </c>
      <c r="G135" s="1745">
        <v>50</v>
      </c>
      <c r="H135" s="1745">
        <v>50</v>
      </c>
      <c r="I135" s="1746"/>
      <c r="J135" s="1746"/>
      <c r="K135" s="1745">
        <v>1020</v>
      </c>
      <c r="L135" s="1745" t="s">
        <v>2420</v>
      </c>
      <c r="M135" s="1730" t="s">
        <v>2420</v>
      </c>
    </row>
    <row r="136" spans="2:13" ht="28.8">
      <c r="B136" s="1744" t="s">
        <v>1827</v>
      </c>
      <c r="C136" s="1744">
        <v>53</v>
      </c>
      <c r="D136" s="1744" t="s">
        <v>1828</v>
      </c>
      <c r="E136" s="1744" t="s">
        <v>1902</v>
      </c>
      <c r="F136" s="1744" t="s">
        <v>1989</v>
      </c>
      <c r="G136" s="1745">
        <v>21</v>
      </c>
      <c r="H136" s="1745">
        <v>21</v>
      </c>
      <c r="I136" s="1746"/>
      <c r="J136" s="1746"/>
      <c r="K136" s="1745">
        <v>1554</v>
      </c>
      <c r="L136" s="1745" t="s">
        <v>2420</v>
      </c>
      <c r="M136" s="1730" t="s">
        <v>2420</v>
      </c>
    </row>
    <row r="137" spans="2:13" ht="14.4">
      <c r="B137" s="1744" t="s">
        <v>1627</v>
      </c>
      <c r="C137" s="1744" t="s">
        <v>1628</v>
      </c>
      <c r="D137" s="1744" t="s">
        <v>1629</v>
      </c>
      <c r="E137" s="1744" t="s">
        <v>1898</v>
      </c>
      <c r="F137" s="1744" t="s">
        <v>1990</v>
      </c>
      <c r="G137" s="1745">
        <v>10</v>
      </c>
      <c r="H137" s="1745">
        <v>10</v>
      </c>
      <c r="I137" s="1746"/>
      <c r="J137" s="1746"/>
      <c r="K137" s="1745">
        <v>43</v>
      </c>
      <c r="L137" s="1745" t="s">
        <v>2420</v>
      </c>
      <c r="M137" s="1730" t="s">
        <v>2420</v>
      </c>
    </row>
    <row r="138" spans="2:13" ht="14.4">
      <c r="B138" s="1744" t="s">
        <v>1630</v>
      </c>
      <c r="C138" s="1744">
        <v>1204</v>
      </c>
      <c r="D138" s="1744" t="s">
        <v>1566</v>
      </c>
      <c r="E138" s="1744" t="s">
        <v>1898</v>
      </c>
      <c r="F138" s="1744" t="s">
        <v>1991</v>
      </c>
      <c r="G138" s="1745">
        <v>24</v>
      </c>
      <c r="H138" s="1745">
        <v>23</v>
      </c>
      <c r="I138" s="1746"/>
      <c r="J138" s="1746"/>
      <c r="K138" s="1745">
        <v>44</v>
      </c>
      <c r="L138" s="1745" t="s">
        <v>2420</v>
      </c>
      <c r="M138" s="1730" t="s">
        <v>2420</v>
      </c>
    </row>
    <row r="139" spans="2:13" ht="14.4">
      <c r="B139" s="1744" t="s">
        <v>1850</v>
      </c>
      <c r="C139" s="1744">
        <v>420</v>
      </c>
      <c r="D139" s="1744" t="s">
        <v>1626</v>
      </c>
      <c r="E139" s="1744" t="s">
        <v>1898</v>
      </c>
      <c r="F139" s="1744" t="s">
        <v>1992</v>
      </c>
      <c r="G139" s="1745">
        <v>236</v>
      </c>
      <c r="H139" s="1745">
        <v>234</v>
      </c>
      <c r="I139" s="1746"/>
      <c r="J139" s="1746"/>
      <c r="K139" s="1745">
        <v>1839</v>
      </c>
      <c r="L139" s="1745" t="s">
        <v>2420</v>
      </c>
      <c r="M139" s="1730" t="s">
        <v>2420</v>
      </c>
    </row>
    <row r="140" spans="2:13" ht="28.8">
      <c r="B140" s="1744" t="s">
        <v>1728</v>
      </c>
      <c r="C140" s="1744">
        <v>5199</v>
      </c>
      <c r="D140" s="1744" t="s">
        <v>1649</v>
      </c>
      <c r="E140" s="1744" t="s">
        <v>1898</v>
      </c>
      <c r="F140" s="1744" t="s">
        <v>1993</v>
      </c>
      <c r="G140" s="1745">
        <v>37</v>
      </c>
      <c r="H140" s="1745">
        <v>36</v>
      </c>
      <c r="I140" s="1746"/>
      <c r="J140" s="1746"/>
      <c r="K140" s="1745">
        <v>961</v>
      </c>
      <c r="L140" s="1745" t="s">
        <v>2420</v>
      </c>
      <c r="M140" s="1730" t="s">
        <v>2420</v>
      </c>
    </row>
    <row r="141" spans="2:13" ht="14.4">
      <c r="B141" s="1744" t="s">
        <v>1789</v>
      </c>
      <c r="C141" s="1744">
        <v>145</v>
      </c>
      <c r="D141" s="1744" t="s">
        <v>1721</v>
      </c>
      <c r="E141" s="1744" t="s">
        <v>1898</v>
      </c>
      <c r="F141" s="1744" t="s">
        <v>1994</v>
      </c>
      <c r="G141" s="1745">
        <v>67</v>
      </c>
      <c r="H141" s="1745">
        <v>66</v>
      </c>
      <c r="I141" s="1746"/>
      <c r="J141" s="1746"/>
      <c r="K141" s="1745">
        <v>1243</v>
      </c>
      <c r="L141" s="1745" t="s">
        <v>2420</v>
      </c>
      <c r="M141" s="1730" t="s">
        <v>2420</v>
      </c>
    </row>
    <row r="142" spans="2:13" ht="28.8">
      <c r="B142" s="1744" t="s">
        <v>1290</v>
      </c>
      <c r="C142" s="1744">
        <v>315</v>
      </c>
      <c r="D142" s="1744" t="s">
        <v>1521</v>
      </c>
      <c r="E142" s="1744" t="s">
        <v>1898</v>
      </c>
      <c r="F142" s="1744" t="s">
        <v>1995</v>
      </c>
      <c r="G142" s="1745">
        <v>14</v>
      </c>
      <c r="H142" s="1745">
        <v>13</v>
      </c>
      <c r="I142" s="1746"/>
      <c r="J142" s="1746"/>
      <c r="K142" s="1745">
        <v>1247</v>
      </c>
      <c r="L142" s="1745" t="s">
        <v>2420</v>
      </c>
      <c r="M142" s="1730" t="s">
        <v>2420</v>
      </c>
    </row>
    <row r="143" spans="2:13" ht="14.4">
      <c r="B143" s="1744" t="s">
        <v>1679</v>
      </c>
      <c r="C143" s="1744">
        <v>34</v>
      </c>
      <c r="D143" s="1744" t="s">
        <v>1521</v>
      </c>
      <c r="E143" s="1744" t="s">
        <v>1898</v>
      </c>
      <c r="F143" s="1744" t="s">
        <v>1996</v>
      </c>
      <c r="G143" s="1745">
        <v>178</v>
      </c>
      <c r="H143" s="1745">
        <v>178</v>
      </c>
      <c r="I143" s="1746"/>
      <c r="J143" s="1746"/>
      <c r="K143" s="1745">
        <v>236</v>
      </c>
      <c r="L143" s="1745" t="s">
        <v>2420</v>
      </c>
      <c r="M143" s="1730" t="s">
        <v>2420</v>
      </c>
    </row>
    <row r="144" spans="2:13" ht="14.4">
      <c r="B144" s="1744" t="s">
        <v>1677</v>
      </c>
      <c r="C144" s="1744">
        <v>3330</v>
      </c>
      <c r="D144" s="1744" t="s">
        <v>1678</v>
      </c>
      <c r="E144" s="1744" t="s">
        <v>1898</v>
      </c>
      <c r="F144" s="1744" t="s">
        <v>1997</v>
      </c>
      <c r="G144" s="1745">
        <v>25</v>
      </c>
      <c r="H144" s="1745">
        <v>25</v>
      </c>
      <c r="I144" s="1746"/>
      <c r="J144" s="1746"/>
      <c r="K144" s="1745">
        <v>231</v>
      </c>
      <c r="L144" s="1745" t="s">
        <v>2420</v>
      </c>
      <c r="M144" s="1730" t="s">
        <v>2420</v>
      </c>
    </row>
    <row r="145" spans="2:13" ht="28.8">
      <c r="B145" s="1744" t="s">
        <v>1792</v>
      </c>
      <c r="C145" s="1744">
        <v>20</v>
      </c>
      <c r="D145" s="1744" t="s">
        <v>1793</v>
      </c>
      <c r="E145" s="1744" t="s">
        <v>1898</v>
      </c>
      <c r="F145" s="1744" t="s">
        <v>1998</v>
      </c>
      <c r="G145" s="1745">
        <v>68</v>
      </c>
      <c r="H145" s="1745">
        <v>68</v>
      </c>
      <c r="I145" s="1746"/>
      <c r="J145" s="1746"/>
      <c r="K145" s="1745">
        <v>1246</v>
      </c>
      <c r="L145" s="1745" t="s">
        <v>2420</v>
      </c>
      <c r="M145" s="1730" t="s">
        <v>2420</v>
      </c>
    </row>
    <row r="146" spans="2:13" ht="28.8">
      <c r="B146" s="1744" t="s">
        <v>1617</v>
      </c>
      <c r="C146" s="1744">
        <v>54</v>
      </c>
      <c r="D146" s="1744" t="s">
        <v>1555</v>
      </c>
      <c r="E146" s="1744" t="s">
        <v>1898</v>
      </c>
      <c r="F146" s="1744" t="s">
        <v>1999</v>
      </c>
      <c r="G146" s="1745">
        <v>100</v>
      </c>
      <c r="H146" s="1745">
        <v>99</v>
      </c>
      <c r="I146" s="1746"/>
      <c r="J146" s="1746"/>
      <c r="K146" s="1745">
        <v>316</v>
      </c>
      <c r="L146" s="1745" t="s">
        <v>2420</v>
      </c>
      <c r="M146" s="1730" t="s">
        <v>2420</v>
      </c>
    </row>
    <row r="147" spans="2:13" ht="28.8">
      <c r="B147" s="1744" t="s">
        <v>2446</v>
      </c>
      <c r="C147" s="1744">
        <v>1751</v>
      </c>
      <c r="D147" s="1744" t="s">
        <v>1846</v>
      </c>
      <c r="E147" s="1744" t="s">
        <v>1896</v>
      </c>
      <c r="F147" s="1744" t="s">
        <v>1979</v>
      </c>
      <c r="G147" s="1745">
        <v>121</v>
      </c>
      <c r="H147" s="1745">
        <v>120</v>
      </c>
      <c r="I147" s="1746"/>
      <c r="J147" s="1746"/>
      <c r="K147" s="1745">
        <v>1825</v>
      </c>
      <c r="L147" s="1745" t="s">
        <v>2420</v>
      </c>
      <c r="M147" s="1730" t="s">
        <v>2420</v>
      </c>
    </row>
    <row r="148" spans="2:13" ht="14.4">
      <c r="B148" s="1744" t="s">
        <v>1291</v>
      </c>
      <c r="C148" s="1744">
        <v>36</v>
      </c>
      <c r="D148" s="1744" t="s">
        <v>1562</v>
      </c>
      <c r="E148" s="1744" t="s">
        <v>1898</v>
      </c>
      <c r="F148" s="1744" t="s">
        <v>2000</v>
      </c>
      <c r="G148" s="1745">
        <v>49</v>
      </c>
      <c r="H148" s="1745">
        <v>25</v>
      </c>
      <c r="I148" s="1746"/>
      <c r="J148" s="1746"/>
      <c r="K148" s="1745">
        <v>250</v>
      </c>
      <c r="L148" s="1745" t="s">
        <v>2420</v>
      </c>
      <c r="M148" s="1730" t="s">
        <v>2420</v>
      </c>
    </row>
    <row r="149" spans="2:13" ht="28.8">
      <c r="B149" s="1744" t="s">
        <v>1292</v>
      </c>
      <c r="C149" s="1744">
        <v>1096</v>
      </c>
      <c r="D149" s="1744" t="s">
        <v>1529</v>
      </c>
      <c r="E149" s="1744" t="s">
        <v>1898</v>
      </c>
      <c r="F149" s="1744" t="s">
        <v>2001</v>
      </c>
      <c r="G149" s="1745">
        <v>21</v>
      </c>
      <c r="H149" s="1745">
        <v>20</v>
      </c>
      <c r="I149" s="1746"/>
      <c r="J149" s="1765"/>
      <c r="K149" s="1745">
        <v>1068</v>
      </c>
      <c r="L149" s="1745" t="s">
        <v>2420</v>
      </c>
      <c r="M149" s="1730" t="s">
        <v>2420</v>
      </c>
    </row>
    <row r="150" spans="2:13" ht="28.8">
      <c r="B150" s="1744" t="s">
        <v>1336</v>
      </c>
      <c r="C150" s="1744">
        <v>425</v>
      </c>
      <c r="D150" s="1744" t="s">
        <v>1529</v>
      </c>
      <c r="E150" s="1744" t="s">
        <v>1898</v>
      </c>
      <c r="F150" s="1744" t="s">
        <v>2002</v>
      </c>
      <c r="G150" s="1745">
        <v>25</v>
      </c>
      <c r="H150" s="1745">
        <v>25</v>
      </c>
      <c r="I150" s="1745"/>
      <c r="J150" s="1747"/>
      <c r="K150" s="1745">
        <v>271</v>
      </c>
      <c r="L150" s="1745" t="s">
        <v>2420</v>
      </c>
      <c r="M150" s="1730" t="s">
        <v>2420</v>
      </c>
    </row>
    <row r="151" spans="2:13" ht="28.8">
      <c r="B151" s="1744" t="s">
        <v>1814</v>
      </c>
      <c r="C151" s="1744">
        <v>66</v>
      </c>
      <c r="D151" s="1744" t="s">
        <v>1552</v>
      </c>
      <c r="E151" s="1744" t="s">
        <v>1898</v>
      </c>
      <c r="F151" s="1744" t="s">
        <v>2003</v>
      </c>
      <c r="G151" s="1745">
        <v>107</v>
      </c>
      <c r="H151" s="1745">
        <v>106</v>
      </c>
      <c r="I151" s="1745">
        <v>11</v>
      </c>
      <c r="J151" s="1747">
        <v>102569</v>
      </c>
      <c r="K151" s="1745">
        <v>1399</v>
      </c>
      <c r="L151" s="1745" t="s">
        <v>2420</v>
      </c>
      <c r="M151" s="1730" t="s">
        <v>2420</v>
      </c>
    </row>
    <row r="152" spans="2:13" ht="14.4">
      <c r="B152" s="1744" t="s">
        <v>1839</v>
      </c>
      <c r="C152" s="1744" t="s">
        <v>1840</v>
      </c>
      <c r="D152" s="1744" t="s">
        <v>1540</v>
      </c>
      <c r="E152" s="1744" t="s">
        <v>1898</v>
      </c>
      <c r="F152" s="1744" t="s">
        <v>2004</v>
      </c>
      <c r="G152" s="1745">
        <v>25</v>
      </c>
      <c r="H152" s="1745">
        <v>24</v>
      </c>
      <c r="I152" s="1746">
        <v>25</v>
      </c>
      <c r="J152" s="1765">
        <v>511249</v>
      </c>
      <c r="K152" s="1745">
        <v>1606</v>
      </c>
      <c r="L152" s="1745" t="s">
        <v>2420</v>
      </c>
      <c r="M152" s="1730" t="s">
        <v>2420</v>
      </c>
    </row>
    <row r="153" spans="2:13" ht="14.4">
      <c r="B153" s="1744" t="s">
        <v>1293</v>
      </c>
      <c r="C153" s="1744">
        <v>150</v>
      </c>
      <c r="D153" s="1744" t="s">
        <v>1552</v>
      </c>
      <c r="E153" s="1744" t="s">
        <v>1898</v>
      </c>
      <c r="F153" s="1744" t="s">
        <v>2005</v>
      </c>
      <c r="G153" s="1745">
        <v>57</v>
      </c>
      <c r="H153" s="1745">
        <v>43</v>
      </c>
      <c r="I153" s="1746"/>
      <c r="J153" s="1746"/>
      <c r="K153" s="1745">
        <v>1139</v>
      </c>
      <c r="L153" s="1745" t="s">
        <v>2420</v>
      </c>
      <c r="M153" s="1730" t="s">
        <v>2420</v>
      </c>
    </row>
    <row r="154" spans="2:13" ht="14.4">
      <c r="B154" s="1744" t="s">
        <v>1733</v>
      </c>
      <c r="C154" s="1744">
        <v>864</v>
      </c>
      <c r="D154" s="1744" t="s">
        <v>1545</v>
      </c>
      <c r="E154" s="1744" t="s">
        <v>1898</v>
      </c>
      <c r="F154" s="1744" t="s">
        <v>2006</v>
      </c>
      <c r="G154" s="1745">
        <v>25</v>
      </c>
      <c r="H154" s="1745">
        <v>25</v>
      </c>
      <c r="I154" s="1746"/>
      <c r="J154" s="1746"/>
      <c r="K154" s="1745">
        <v>993</v>
      </c>
      <c r="L154" s="1745" t="s">
        <v>2420</v>
      </c>
      <c r="M154" s="1730" t="s">
        <v>2420</v>
      </c>
    </row>
    <row r="155" spans="2:13" ht="28.8">
      <c r="B155" s="1744" t="s">
        <v>2633</v>
      </c>
      <c r="C155" s="1744">
        <v>600</v>
      </c>
      <c r="D155" s="1744" t="s">
        <v>2634</v>
      </c>
      <c r="E155" s="1744" t="s">
        <v>2420</v>
      </c>
      <c r="F155" s="1744" t="s">
        <v>2635</v>
      </c>
      <c r="G155" s="1745">
        <v>177</v>
      </c>
      <c r="H155" s="1745">
        <v>177</v>
      </c>
      <c r="I155" s="1746"/>
      <c r="J155" s="1746"/>
      <c r="K155" s="1745">
        <v>1448</v>
      </c>
      <c r="L155" s="1745" t="s">
        <v>2420</v>
      </c>
      <c r="M155" s="1730" t="s">
        <v>2420</v>
      </c>
    </row>
    <row r="156" spans="2:13" ht="28.8">
      <c r="B156" s="1744" t="s">
        <v>1294</v>
      </c>
      <c r="C156" s="1744">
        <v>328</v>
      </c>
      <c r="D156" s="1744" t="s">
        <v>1573</v>
      </c>
      <c r="E156" s="1744" t="s">
        <v>1898</v>
      </c>
      <c r="F156" s="1744" t="s">
        <v>2007</v>
      </c>
      <c r="G156" s="1745">
        <v>85</v>
      </c>
      <c r="H156" s="1745">
        <v>84</v>
      </c>
      <c r="I156" s="1746"/>
      <c r="J156" s="1746"/>
      <c r="K156" s="1745">
        <v>1031</v>
      </c>
      <c r="L156" s="1745" t="s">
        <v>2420</v>
      </c>
      <c r="M156" s="1730" t="s">
        <v>2420</v>
      </c>
    </row>
    <row r="157" spans="2:13" ht="14.4">
      <c r="B157" s="1744" t="s">
        <v>1836</v>
      </c>
      <c r="C157" s="1744" t="s">
        <v>1837</v>
      </c>
      <c r="D157" s="1744" t="s">
        <v>1649</v>
      </c>
      <c r="E157" s="1744" t="s">
        <v>1898</v>
      </c>
      <c r="F157" s="1744" t="s">
        <v>2008</v>
      </c>
      <c r="G157" s="1745">
        <v>1</v>
      </c>
      <c r="H157" s="1745">
        <v>1</v>
      </c>
      <c r="I157" s="1746"/>
      <c r="J157" s="1746"/>
      <c r="K157" s="1745">
        <v>1600</v>
      </c>
      <c r="L157" s="1745" t="s">
        <v>2420</v>
      </c>
      <c r="M157" s="1730" t="s">
        <v>2420</v>
      </c>
    </row>
    <row r="158" spans="2:13" ht="28.8">
      <c r="B158" s="1744" t="s">
        <v>1631</v>
      </c>
      <c r="C158" s="1744">
        <v>1221</v>
      </c>
      <c r="D158" s="1744" t="s">
        <v>1632</v>
      </c>
      <c r="E158" s="1744" t="s">
        <v>1902</v>
      </c>
      <c r="F158" s="1744" t="s">
        <v>2009</v>
      </c>
      <c r="G158" s="1745">
        <v>2</v>
      </c>
      <c r="H158" s="1745">
        <v>2</v>
      </c>
      <c r="I158" s="1746"/>
      <c r="J158" s="1746"/>
      <c r="K158" s="1745">
        <v>45</v>
      </c>
      <c r="L158" s="1745" t="s">
        <v>2420</v>
      </c>
      <c r="M158" s="1730" t="s">
        <v>2420</v>
      </c>
    </row>
    <row r="159" spans="2:13" ht="14.4">
      <c r="B159" s="1744" t="s">
        <v>1761</v>
      </c>
      <c r="C159" s="1744">
        <v>333</v>
      </c>
      <c r="D159" s="1744" t="s">
        <v>1762</v>
      </c>
      <c r="E159" s="1744" t="s">
        <v>1898</v>
      </c>
      <c r="F159" s="1744" t="s">
        <v>2010</v>
      </c>
      <c r="G159" s="1745">
        <v>82</v>
      </c>
      <c r="H159" s="1745">
        <v>82</v>
      </c>
      <c r="I159" s="1746"/>
      <c r="J159" s="1746"/>
      <c r="K159" s="1745">
        <v>1073</v>
      </c>
      <c r="L159" s="1745" t="s">
        <v>2420</v>
      </c>
      <c r="M159" s="1730" t="s">
        <v>2420</v>
      </c>
    </row>
    <row r="160" spans="2:13" ht="14.4">
      <c r="B160" s="1744" t="s">
        <v>1295</v>
      </c>
      <c r="C160" s="1744">
        <v>1249</v>
      </c>
      <c r="D160" s="1744" t="s">
        <v>1540</v>
      </c>
      <c r="E160" s="1744" t="s">
        <v>1898</v>
      </c>
      <c r="F160" s="1744" t="s">
        <v>2011</v>
      </c>
      <c r="G160" s="1745">
        <v>12</v>
      </c>
      <c r="H160" s="1745">
        <v>12</v>
      </c>
      <c r="I160" s="1745"/>
      <c r="J160" s="1747"/>
      <c r="K160" s="1745">
        <v>1083</v>
      </c>
      <c r="L160" s="1745" t="s">
        <v>2420</v>
      </c>
      <c r="M160" s="1730" t="s">
        <v>2420</v>
      </c>
    </row>
    <row r="161" spans="2:13" ht="28.8">
      <c r="B161" s="1744" t="s">
        <v>1754</v>
      </c>
      <c r="C161" s="1744">
        <v>1223</v>
      </c>
      <c r="D161" s="1744" t="s">
        <v>1564</v>
      </c>
      <c r="E161" s="1744" t="s">
        <v>1898</v>
      </c>
      <c r="F161" s="1744" t="s">
        <v>2012</v>
      </c>
      <c r="G161" s="1745">
        <v>120</v>
      </c>
      <c r="H161" s="1745">
        <v>120</v>
      </c>
      <c r="I161" s="1746"/>
      <c r="J161" s="1746"/>
      <c r="K161" s="1745">
        <v>1063</v>
      </c>
      <c r="L161" s="1745" t="s">
        <v>2420</v>
      </c>
      <c r="M161" s="1730" t="s">
        <v>2420</v>
      </c>
    </row>
    <row r="162" spans="2:13" ht="28.8">
      <c r="B162" s="1744" t="s">
        <v>1801</v>
      </c>
      <c r="C162" s="1744">
        <v>1346</v>
      </c>
      <c r="D162" s="1744" t="s">
        <v>1741</v>
      </c>
      <c r="E162" s="1744" t="s">
        <v>1898</v>
      </c>
      <c r="F162" s="1744" t="s">
        <v>2013</v>
      </c>
      <c r="G162" s="1745">
        <v>98</v>
      </c>
      <c r="H162" s="1745">
        <v>96</v>
      </c>
      <c r="I162" s="1746">
        <v>20</v>
      </c>
      <c r="J162" s="1765">
        <v>266236</v>
      </c>
      <c r="K162" s="1745">
        <v>1258</v>
      </c>
      <c r="L162" s="1745" t="s">
        <v>2420</v>
      </c>
      <c r="M162" s="1730" t="s">
        <v>2420</v>
      </c>
    </row>
    <row r="163" spans="2:13" ht="14.4">
      <c r="B163" s="1744" t="s">
        <v>1658</v>
      </c>
      <c r="C163" s="1744">
        <v>217</v>
      </c>
      <c r="D163" s="1744" t="s">
        <v>1529</v>
      </c>
      <c r="E163" s="1744" t="s">
        <v>1898</v>
      </c>
      <c r="F163" s="1744" t="s">
        <v>2014</v>
      </c>
      <c r="G163" s="1745">
        <v>105</v>
      </c>
      <c r="H163" s="1745">
        <v>104</v>
      </c>
      <c r="I163" s="1746"/>
      <c r="J163" s="1746"/>
      <c r="K163" s="1745">
        <v>163</v>
      </c>
      <c r="L163" s="1745" t="s">
        <v>2420</v>
      </c>
      <c r="M163" s="1730" t="s">
        <v>2420</v>
      </c>
    </row>
    <row r="164" spans="2:13" ht="14.4">
      <c r="B164" s="1744" t="s">
        <v>1296</v>
      </c>
      <c r="C164" s="1744">
        <v>56</v>
      </c>
      <c r="D164" s="1744" t="s">
        <v>1523</v>
      </c>
      <c r="E164" s="1744" t="s">
        <v>1902</v>
      </c>
      <c r="F164" s="1744" t="s">
        <v>2015</v>
      </c>
      <c r="G164" s="1745">
        <v>20</v>
      </c>
      <c r="H164" s="1745">
        <v>0</v>
      </c>
      <c r="I164" s="1746"/>
      <c r="J164" s="1746"/>
      <c r="K164" s="1745">
        <v>1173</v>
      </c>
      <c r="L164" s="1745" t="s">
        <v>2420</v>
      </c>
      <c r="M164" s="1730" t="s">
        <v>2420</v>
      </c>
    </row>
    <row r="165" spans="2:13" ht="14.4">
      <c r="B165" s="1744" t="s">
        <v>1738</v>
      </c>
      <c r="C165" s="1744" t="s">
        <v>1739</v>
      </c>
      <c r="D165" s="1744" t="s">
        <v>1522</v>
      </c>
      <c r="E165" s="1744" t="s">
        <v>1898</v>
      </c>
      <c r="F165" s="1744" t="s">
        <v>2016</v>
      </c>
      <c r="G165" s="1745">
        <v>29</v>
      </c>
      <c r="H165" s="1745">
        <v>29</v>
      </c>
      <c r="I165" s="1746"/>
      <c r="J165" s="1746"/>
      <c r="K165" s="1745">
        <v>1016</v>
      </c>
      <c r="L165" s="1745" t="s">
        <v>2420</v>
      </c>
      <c r="M165" s="1730" t="s">
        <v>2420</v>
      </c>
    </row>
    <row r="166" spans="2:13" ht="28.8">
      <c r="B166" s="1744" t="s">
        <v>1644</v>
      </c>
      <c r="C166" s="1744">
        <v>1637</v>
      </c>
      <c r="D166" s="1744" t="s">
        <v>1645</v>
      </c>
      <c r="E166" s="1744" t="s">
        <v>1898</v>
      </c>
      <c r="F166" s="1744" t="s">
        <v>2017</v>
      </c>
      <c r="G166" s="1745">
        <v>16</v>
      </c>
      <c r="H166" s="1745">
        <v>16</v>
      </c>
      <c r="I166" s="1746"/>
      <c r="J166" s="1746"/>
      <c r="K166" s="1745">
        <v>115</v>
      </c>
      <c r="L166" s="1745" t="s">
        <v>2420</v>
      </c>
      <c r="M166" s="1730" t="s">
        <v>2420</v>
      </c>
    </row>
    <row r="167" spans="2:13" ht="28.8">
      <c r="B167" s="1744" t="s">
        <v>1718</v>
      </c>
      <c r="C167" s="1744">
        <v>5545</v>
      </c>
      <c r="D167" s="1744" t="s">
        <v>1719</v>
      </c>
      <c r="E167" s="1744" t="s">
        <v>1898</v>
      </c>
      <c r="F167" s="1744" t="s">
        <v>2018</v>
      </c>
      <c r="G167" s="1745">
        <v>54</v>
      </c>
      <c r="H167" s="1745">
        <v>53</v>
      </c>
      <c r="I167" s="1746"/>
      <c r="J167" s="1746"/>
      <c r="K167" s="1745">
        <v>489</v>
      </c>
      <c r="L167" s="1745" t="s">
        <v>2420</v>
      </c>
      <c r="M167" s="1730" t="s">
        <v>2420</v>
      </c>
    </row>
    <row r="168" spans="2:13" ht="14.4">
      <c r="B168" s="1744" t="s">
        <v>1297</v>
      </c>
      <c r="C168" s="1744">
        <v>9</v>
      </c>
      <c r="D168" s="1744" t="s">
        <v>1524</v>
      </c>
      <c r="E168" s="1744" t="s">
        <v>2019</v>
      </c>
      <c r="F168" s="1744" t="s">
        <v>2020</v>
      </c>
      <c r="G168" s="1745">
        <v>275</v>
      </c>
      <c r="H168" s="1745">
        <v>273</v>
      </c>
      <c r="I168" s="1746"/>
      <c r="J168" s="1746"/>
      <c r="K168" s="1745">
        <v>1017</v>
      </c>
      <c r="L168" s="1745" t="s">
        <v>2420</v>
      </c>
      <c r="M168" s="1730" t="s">
        <v>2420</v>
      </c>
    </row>
    <row r="169" spans="2:13" ht="28.8">
      <c r="B169" s="1744" t="s">
        <v>1747</v>
      </c>
      <c r="C169" s="1744">
        <v>1820</v>
      </c>
      <c r="D169" s="1744" t="s">
        <v>1748</v>
      </c>
      <c r="E169" s="1744" t="s">
        <v>1898</v>
      </c>
      <c r="F169" s="1744" t="s">
        <v>2021</v>
      </c>
      <c r="G169" s="1745">
        <v>72</v>
      </c>
      <c r="H169" s="1745">
        <v>71</v>
      </c>
      <c r="I169" s="1746"/>
      <c r="J169" s="1746"/>
      <c r="K169" s="1745">
        <v>1043</v>
      </c>
      <c r="L169" s="1745" t="s">
        <v>2420</v>
      </c>
      <c r="M169" s="1730" t="s">
        <v>2420</v>
      </c>
    </row>
    <row r="170" spans="2:13" ht="28.8">
      <c r="B170" s="1744" t="s">
        <v>1757</v>
      </c>
      <c r="C170" s="1744" t="s">
        <v>1758</v>
      </c>
      <c r="D170" s="1744" t="s">
        <v>1759</v>
      </c>
      <c r="E170" s="1744" t="s">
        <v>1902</v>
      </c>
      <c r="F170" s="1744" t="s">
        <v>2022</v>
      </c>
      <c r="G170" s="1745">
        <v>20</v>
      </c>
      <c r="H170" s="1745">
        <v>19</v>
      </c>
      <c r="I170" s="1746"/>
      <c r="J170" s="1746"/>
      <c r="K170" s="1745">
        <v>1069</v>
      </c>
      <c r="L170" s="1745" t="s">
        <v>2420</v>
      </c>
      <c r="M170" s="1730" t="s">
        <v>2420</v>
      </c>
    </row>
    <row r="171" spans="2:13" ht="28.8">
      <c r="B171" s="1744" t="s">
        <v>1646</v>
      </c>
      <c r="C171" s="1744">
        <v>1695</v>
      </c>
      <c r="D171" s="1744" t="s">
        <v>1647</v>
      </c>
      <c r="E171" s="1744" t="s">
        <v>1898</v>
      </c>
      <c r="F171" s="1744" t="s">
        <v>2023</v>
      </c>
      <c r="G171" s="1745">
        <v>29</v>
      </c>
      <c r="H171" s="1745">
        <v>5</v>
      </c>
      <c r="I171" s="1746"/>
      <c r="J171" s="1746"/>
      <c r="K171" s="1745">
        <v>119</v>
      </c>
      <c r="L171" s="1745" t="s">
        <v>2420</v>
      </c>
      <c r="M171" s="1730" t="s">
        <v>2420</v>
      </c>
    </row>
    <row r="172" spans="2:13" ht="28.8">
      <c r="B172" s="1744" t="s">
        <v>1689</v>
      </c>
      <c r="C172" s="1744">
        <v>398</v>
      </c>
      <c r="D172" s="1744" t="s">
        <v>1557</v>
      </c>
      <c r="E172" s="1744" t="s">
        <v>1898</v>
      </c>
      <c r="F172" s="1744" t="s">
        <v>2024</v>
      </c>
      <c r="G172" s="1745">
        <v>12</v>
      </c>
      <c r="H172" s="1745">
        <v>7</v>
      </c>
      <c r="I172" s="1746"/>
      <c r="J172" s="1746"/>
      <c r="K172" s="1745">
        <v>264</v>
      </c>
      <c r="L172" s="1745" t="s">
        <v>2420</v>
      </c>
      <c r="M172" s="1730" t="s">
        <v>2420</v>
      </c>
    </row>
    <row r="173" spans="2:13" ht="14.4">
      <c r="B173" s="1744" t="s">
        <v>2447</v>
      </c>
      <c r="C173" s="1744">
        <v>1432</v>
      </c>
      <c r="D173" s="1744" t="s">
        <v>1571</v>
      </c>
      <c r="E173" s="1744" t="s">
        <v>2123</v>
      </c>
      <c r="F173" s="1744" t="s">
        <v>2128</v>
      </c>
      <c r="G173" s="1745">
        <v>24</v>
      </c>
      <c r="H173" s="1745">
        <v>0</v>
      </c>
      <c r="I173" s="1746"/>
      <c r="J173" s="1746"/>
      <c r="K173" s="1745">
        <v>1153</v>
      </c>
      <c r="L173" s="1745" t="s">
        <v>2420</v>
      </c>
      <c r="M173" s="1730" t="s">
        <v>2420</v>
      </c>
    </row>
    <row r="174" spans="2:13" ht="28.8">
      <c r="B174" s="1744" t="s">
        <v>1298</v>
      </c>
      <c r="C174" s="1744">
        <v>1631</v>
      </c>
      <c r="D174" s="1744" t="s">
        <v>1525</v>
      </c>
      <c r="E174" s="1744" t="s">
        <v>1898</v>
      </c>
      <c r="F174" s="1744" t="s">
        <v>2025</v>
      </c>
      <c r="G174" s="1745">
        <v>20</v>
      </c>
      <c r="H174" s="1745">
        <v>19</v>
      </c>
      <c r="I174" s="1746"/>
      <c r="J174" s="1746"/>
      <c r="K174" s="1745">
        <v>97</v>
      </c>
      <c r="L174" s="1745" t="s">
        <v>2420</v>
      </c>
      <c r="M174" s="1730" t="s">
        <v>2420</v>
      </c>
    </row>
    <row r="175" spans="2:13" ht="14.4">
      <c r="B175" s="1744" t="s">
        <v>1685</v>
      </c>
      <c r="C175" s="1744">
        <v>385</v>
      </c>
      <c r="D175" s="1744" t="s">
        <v>1529</v>
      </c>
      <c r="E175" s="1744" t="s">
        <v>1898</v>
      </c>
      <c r="F175" s="1744" t="s">
        <v>2026</v>
      </c>
      <c r="G175" s="1745">
        <v>67</v>
      </c>
      <c r="H175" s="1745">
        <v>65</v>
      </c>
      <c r="I175" s="1746"/>
      <c r="J175" s="1746"/>
      <c r="K175" s="1745">
        <v>260</v>
      </c>
      <c r="L175" s="1745" t="s">
        <v>2420</v>
      </c>
      <c r="M175" s="1730" t="s">
        <v>2420</v>
      </c>
    </row>
    <row r="176" spans="2:13" ht="14.4">
      <c r="B176" s="1744" t="s">
        <v>2636</v>
      </c>
      <c r="C176" s="1744">
        <v>667</v>
      </c>
      <c r="D176" s="1744" t="s">
        <v>2637</v>
      </c>
      <c r="E176" s="1744"/>
      <c r="F176" s="1744" t="s">
        <v>2638</v>
      </c>
      <c r="G176" s="1745">
        <v>83</v>
      </c>
      <c r="H176" s="1745">
        <v>83</v>
      </c>
      <c r="I176" s="1745"/>
      <c r="J176" s="1747"/>
      <c r="K176" s="1745">
        <v>2329</v>
      </c>
      <c r="L176" s="1745" t="s">
        <v>2420</v>
      </c>
      <c r="M176" s="1730" t="s">
        <v>2420</v>
      </c>
    </row>
    <row r="177" spans="2:13" ht="14.4">
      <c r="B177" s="1744" t="s">
        <v>2639</v>
      </c>
      <c r="C177" s="1744">
        <v>401</v>
      </c>
      <c r="D177" s="1744" t="s">
        <v>2640</v>
      </c>
      <c r="E177" s="1744"/>
      <c r="F177" s="1744" t="s">
        <v>2641</v>
      </c>
      <c r="G177" s="1745">
        <v>109</v>
      </c>
      <c r="H177" s="1745">
        <v>109</v>
      </c>
      <c r="I177" s="1746"/>
      <c r="J177" s="1746"/>
      <c r="K177" s="1745">
        <v>2330</v>
      </c>
      <c r="L177" s="1745" t="s">
        <v>2420</v>
      </c>
      <c r="M177" s="1730" t="s">
        <v>2420</v>
      </c>
    </row>
    <row r="178" spans="2:13" ht="14.4">
      <c r="B178" s="1744" t="s">
        <v>1755</v>
      </c>
      <c r="C178" s="1744">
        <v>3554</v>
      </c>
      <c r="D178" s="1744" t="s">
        <v>1756</v>
      </c>
      <c r="E178" s="1744" t="s">
        <v>1898</v>
      </c>
      <c r="F178" s="1744" t="s">
        <v>2027</v>
      </c>
      <c r="G178" s="1745">
        <v>9</v>
      </c>
      <c r="H178" s="1745">
        <v>9</v>
      </c>
      <c r="I178" s="1746"/>
      <c r="J178" s="1746"/>
      <c r="K178" s="1745">
        <v>1065</v>
      </c>
      <c r="L178" s="1745" t="s">
        <v>2420</v>
      </c>
      <c r="M178" s="1730" t="s">
        <v>2420</v>
      </c>
    </row>
    <row r="179" spans="2:13" ht="14.4">
      <c r="B179" s="1744" t="s">
        <v>1672</v>
      </c>
      <c r="C179" s="1744">
        <v>243</v>
      </c>
      <c r="D179" s="1744" t="s">
        <v>1673</v>
      </c>
      <c r="E179" s="1744" t="s">
        <v>1898</v>
      </c>
      <c r="F179" s="1744" t="s">
        <v>2028</v>
      </c>
      <c r="G179" s="1745">
        <v>148</v>
      </c>
      <c r="H179" s="1745">
        <v>146</v>
      </c>
      <c r="I179" s="1746"/>
      <c r="J179" s="1746"/>
      <c r="K179" s="1745">
        <v>213</v>
      </c>
      <c r="L179" s="1745" t="s">
        <v>2420</v>
      </c>
      <c r="M179" s="1730" t="s">
        <v>2420</v>
      </c>
    </row>
    <row r="180" spans="2:13" ht="14.4">
      <c r="B180" s="1744" t="s">
        <v>1816</v>
      </c>
      <c r="C180" s="1744">
        <v>684</v>
      </c>
      <c r="D180" s="1744" t="s">
        <v>1545</v>
      </c>
      <c r="E180" s="1744" t="s">
        <v>1898</v>
      </c>
      <c r="F180" s="1744" t="s">
        <v>2029</v>
      </c>
      <c r="G180" s="1745">
        <v>84</v>
      </c>
      <c r="H180" s="1745">
        <v>84</v>
      </c>
      <c r="I180" s="1746">
        <v>84</v>
      </c>
      <c r="J180" s="1765">
        <v>116917</v>
      </c>
      <c r="K180" s="1745">
        <v>1437</v>
      </c>
      <c r="L180" s="1745" t="s">
        <v>2420</v>
      </c>
      <c r="M180" s="1730" t="s">
        <v>2420</v>
      </c>
    </row>
    <row r="181" spans="2:13" ht="14.4">
      <c r="B181" s="1744" t="s">
        <v>1736</v>
      </c>
      <c r="C181" s="1744" t="s">
        <v>1737</v>
      </c>
      <c r="D181" s="1744" t="s">
        <v>1649</v>
      </c>
      <c r="E181" s="1744" t="s">
        <v>1898</v>
      </c>
      <c r="F181" s="1744" t="s">
        <v>2030</v>
      </c>
      <c r="G181" s="1745">
        <v>75</v>
      </c>
      <c r="H181" s="1745">
        <v>73</v>
      </c>
      <c r="I181" s="1746"/>
      <c r="J181" s="1746"/>
      <c r="K181" s="1745">
        <v>1012</v>
      </c>
      <c r="L181" s="1745" t="s">
        <v>2420</v>
      </c>
      <c r="M181" s="1730" t="s">
        <v>2420</v>
      </c>
    </row>
    <row r="182" spans="2:13" ht="28.8">
      <c r="B182" s="1744" t="s">
        <v>1643</v>
      </c>
      <c r="C182" s="1744">
        <v>1601</v>
      </c>
      <c r="D182" s="1744" t="s">
        <v>1543</v>
      </c>
      <c r="E182" s="1744" t="s">
        <v>1898</v>
      </c>
      <c r="F182" s="1744" t="s">
        <v>2031</v>
      </c>
      <c r="G182" s="1745">
        <v>12</v>
      </c>
      <c r="H182" s="1745">
        <v>12</v>
      </c>
      <c r="I182" s="1746"/>
      <c r="J182" s="1746"/>
      <c r="K182" s="1745">
        <v>110</v>
      </c>
      <c r="L182" s="1745" t="s">
        <v>2420</v>
      </c>
      <c r="M182" s="1730" t="s">
        <v>2420</v>
      </c>
    </row>
    <row r="183" spans="2:13" ht="28.8">
      <c r="B183" s="1744" t="s">
        <v>1823</v>
      </c>
      <c r="C183" s="1744">
        <v>112</v>
      </c>
      <c r="D183" s="1744" t="s">
        <v>1824</v>
      </c>
      <c r="E183" s="1744" t="s">
        <v>2032</v>
      </c>
      <c r="F183" s="1744" t="s">
        <v>2033</v>
      </c>
      <c r="G183" s="1745">
        <v>107</v>
      </c>
      <c r="H183" s="1745">
        <v>107</v>
      </c>
      <c r="I183" s="1746"/>
      <c r="J183" s="1746"/>
      <c r="K183" s="1745">
        <v>1545</v>
      </c>
      <c r="L183" s="1745" t="s">
        <v>2420</v>
      </c>
      <c r="M183" s="1730" t="s">
        <v>2420</v>
      </c>
    </row>
    <row r="184" spans="2:13" ht="28.8">
      <c r="B184" s="1744" t="s">
        <v>2594</v>
      </c>
      <c r="C184" s="1744">
        <v>112</v>
      </c>
      <c r="D184" s="1744" t="s">
        <v>1824</v>
      </c>
      <c r="E184" s="1744" t="s">
        <v>2503</v>
      </c>
      <c r="F184" s="1744" t="s">
        <v>2504</v>
      </c>
      <c r="G184" s="1745">
        <v>107</v>
      </c>
      <c r="H184" s="1745">
        <v>106</v>
      </c>
      <c r="I184" s="1746"/>
      <c r="J184" s="1746"/>
      <c r="K184" s="1745">
        <v>1917</v>
      </c>
      <c r="L184" s="1745" t="s">
        <v>2420</v>
      </c>
      <c r="M184" s="1730" t="s">
        <v>2420</v>
      </c>
    </row>
    <row r="185" spans="2:13" ht="28.8">
      <c r="B185" s="1744" t="s">
        <v>2595</v>
      </c>
      <c r="C185" s="1744">
        <v>112</v>
      </c>
      <c r="D185" s="1744" t="s">
        <v>1824</v>
      </c>
      <c r="E185" s="1744" t="s">
        <v>2503</v>
      </c>
      <c r="F185" s="1744" t="s">
        <v>2504</v>
      </c>
      <c r="G185" s="1745">
        <v>72</v>
      </c>
      <c r="H185" s="1745">
        <v>71</v>
      </c>
      <c r="I185" s="1746"/>
      <c r="J185" s="1746"/>
      <c r="K185" s="1745">
        <v>2009</v>
      </c>
      <c r="L185" s="1745" t="s">
        <v>2420</v>
      </c>
      <c r="M185" s="1730" t="s">
        <v>2420</v>
      </c>
    </row>
    <row r="186" spans="2:13" ht="14.4">
      <c r="B186" s="1744" t="s">
        <v>1795</v>
      </c>
      <c r="C186" s="1744">
        <v>848</v>
      </c>
      <c r="D186" s="1744" t="s">
        <v>1796</v>
      </c>
      <c r="E186" s="1744" t="s">
        <v>1898</v>
      </c>
      <c r="F186" s="1744" t="s">
        <v>2034</v>
      </c>
      <c r="G186" s="1745">
        <v>105</v>
      </c>
      <c r="H186" s="1745">
        <v>104</v>
      </c>
      <c r="I186" s="1746"/>
      <c r="J186" s="1765"/>
      <c r="K186" s="1745">
        <v>1250</v>
      </c>
      <c r="L186" s="1745" t="s">
        <v>2420</v>
      </c>
      <c r="M186" s="1730" t="s">
        <v>2420</v>
      </c>
    </row>
    <row r="187" spans="2:13" ht="14.4">
      <c r="B187" s="1744" t="s">
        <v>1299</v>
      </c>
      <c r="C187" s="1744">
        <v>835</v>
      </c>
      <c r="D187" s="1744" t="s">
        <v>1546</v>
      </c>
      <c r="E187" s="1744" t="s">
        <v>1898</v>
      </c>
      <c r="F187" s="1744" t="s">
        <v>2035</v>
      </c>
      <c r="G187" s="1745">
        <v>74</v>
      </c>
      <c r="H187" s="1745">
        <v>74</v>
      </c>
      <c r="I187" s="1745"/>
      <c r="J187" s="1747"/>
      <c r="K187" s="1745">
        <v>384</v>
      </c>
      <c r="L187" s="1745" t="s">
        <v>2420</v>
      </c>
      <c r="M187" s="1730" t="s">
        <v>2420</v>
      </c>
    </row>
    <row r="188" spans="2:13" ht="14.4">
      <c r="B188" s="1744" t="s">
        <v>1300</v>
      </c>
      <c r="C188" s="1744">
        <v>1638</v>
      </c>
      <c r="D188" s="1744" t="s">
        <v>1560</v>
      </c>
      <c r="E188" s="1744" t="s">
        <v>1902</v>
      </c>
      <c r="F188" s="1744" t="s">
        <v>2036</v>
      </c>
      <c r="G188" s="1745">
        <v>8</v>
      </c>
      <c r="H188" s="1745">
        <v>0</v>
      </c>
      <c r="I188" s="1746"/>
      <c r="J188" s="1746"/>
      <c r="K188" s="1745">
        <v>1210</v>
      </c>
      <c r="L188" s="1745" t="s">
        <v>2420</v>
      </c>
      <c r="M188" s="1730" t="s">
        <v>2420</v>
      </c>
    </row>
    <row r="189" spans="2:13" ht="14.4">
      <c r="B189" s="1744" t="s">
        <v>1301</v>
      </c>
      <c r="C189" s="1744">
        <v>1601</v>
      </c>
      <c r="D189" s="1744" t="s">
        <v>1559</v>
      </c>
      <c r="E189" s="1744" t="s">
        <v>1902</v>
      </c>
      <c r="F189" s="1744" t="s">
        <v>2037</v>
      </c>
      <c r="G189" s="1745">
        <v>13</v>
      </c>
      <c r="H189" s="1745">
        <v>0</v>
      </c>
      <c r="I189" s="1746"/>
      <c r="J189" s="1746"/>
      <c r="K189" s="1745">
        <v>111</v>
      </c>
      <c r="L189" s="1745" t="s">
        <v>2420</v>
      </c>
      <c r="M189" s="1730" t="s">
        <v>2420</v>
      </c>
    </row>
    <row r="190" spans="2:13" ht="43.2">
      <c r="B190" s="1744" t="s">
        <v>2507</v>
      </c>
      <c r="C190" s="1744">
        <v>800</v>
      </c>
      <c r="D190" s="1744" t="s">
        <v>2508</v>
      </c>
      <c r="E190" s="1744" t="s">
        <v>1896</v>
      </c>
      <c r="F190" s="1744" t="s">
        <v>2509</v>
      </c>
      <c r="G190" s="1745">
        <v>50</v>
      </c>
      <c r="H190" s="1745">
        <v>49</v>
      </c>
      <c r="I190" s="1746">
        <v>25</v>
      </c>
      <c r="J190" s="1765">
        <v>387327</v>
      </c>
      <c r="K190" s="1745">
        <v>1607</v>
      </c>
      <c r="L190" s="1745" t="s">
        <v>2420</v>
      </c>
      <c r="M190" s="1730" t="s">
        <v>2420</v>
      </c>
    </row>
    <row r="191" spans="2:13" ht="28.8">
      <c r="B191" s="1744" t="s">
        <v>1722</v>
      </c>
      <c r="C191" s="1744">
        <v>500</v>
      </c>
      <c r="D191" s="1744" t="s">
        <v>1723</v>
      </c>
      <c r="E191" s="1744" t="s">
        <v>1902</v>
      </c>
      <c r="F191" s="1744" t="s">
        <v>2038</v>
      </c>
      <c r="G191" s="1745">
        <v>91</v>
      </c>
      <c r="H191" s="1745">
        <v>90</v>
      </c>
      <c r="I191" s="1746"/>
      <c r="J191" s="1765"/>
      <c r="K191" s="1745">
        <v>517</v>
      </c>
      <c r="L191" s="1745" t="s">
        <v>2420</v>
      </c>
      <c r="M191" s="1730" t="s">
        <v>2420</v>
      </c>
    </row>
    <row r="192" spans="2:13" ht="14.4">
      <c r="B192" s="1744" t="s">
        <v>1302</v>
      </c>
      <c r="C192" s="1744">
        <v>820</v>
      </c>
      <c r="D192" s="1744" t="s">
        <v>1546</v>
      </c>
      <c r="E192" s="1744" t="s">
        <v>1898</v>
      </c>
      <c r="F192" s="1744" t="s">
        <v>2039</v>
      </c>
      <c r="G192" s="1745">
        <v>54</v>
      </c>
      <c r="H192" s="1745">
        <v>54</v>
      </c>
      <c r="I192" s="1745"/>
      <c r="J192" s="1747"/>
      <c r="K192" s="1745">
        <v>1080</v>
      </c>
      <c r="L192" s="1745" t="s">
        <v>2420</v>
      </c>
      <c r="M192" s="1730" t="s">
        <v>2420</v>
      </c>
    </row>
    <row r="193" spans="2:13" ht="14.4">
      <c r="B193" s="1744" t="s">
        <v>1613</v>
      </c>
      <c r="C193" s="1744">
        <v>3101</v>
      </c>
      <c r="D193" s="1744" t="s">
        <v>1614</v>
      </c>
      <c r="E193" s="1744" t="s">
        <v>1898</v>
      </c>
      <c r="F193" s="1744" t="s">
        <v>2040</v>
      </c>
      <c r="G193" s="1745">
        <v>30</v>
      </c>
      <c r="H193" s="1745">
        <v>29</v>
      </c>
      <c r="I193" s="1746"/>
      <c r="J193" s="1746"/>
      <c r="K193" s="1745">
        <v>9</v>
      </c>
      <c r="L193" s="1745" t="s">
        <v>2420</v>
      </c>
      <c r="M193" s="1730" t="s">
        <v>2420</v>
      </c>
    </row>
    <row r="194" spans="2:13" ht="14.4">
      <c r="B194" s="1744" t="s">
        <v>1716</v>
      </c>
      <c r="C194" s="1744">
        <v>926</v>
      </c>
      <c r="D194" s="1744" t="s">
        <v>1717</v>
      </c>
      <c r="E194" s="1744" t="s">
        <v>1898</v>
      </c>
      <c r="F194" s="1744" t="s">
        <v>2041</v>
      </c>
      <c r="G194" s="1745">
        <v>25</v>
      </c>
      <c r="H194" s="1745">
        <v>24</v>
      </c>
      <c r="I194" s="1746"/>
      <c r="J194" s="1746"/>
      <c r="K194" s="1745">
        <v>400</v>
      </c>
      <c r="L194" s="1745" t="s">
        <v>2420</v>
      </c>
      <c r="M194" s="1730" t="s">
        <v>2420</v>
      </c>
    </row>
    <row r="195" spans="2:13" ht="28.8">
      <c r="B195" s="1744" t="s">
        <v>1829</v>
      </c>
      <c r="C195" s="1744">
        <v>220</v>
      </c>
      <c r="D195" s="1744" t="s">
        <v>2542</v>
      </c>
      <c r="E195" s="1744" t="s">
        <v>1902</v>
      </c>
      <c r="F195" s="1744" t="s">
        <v>2042</v>
      </c>
      <c r="G195" s="1745">
        <v>174</v>
      </c>
      <c r="H195" s="1745">
        <v>172</v>
      </c>
      <c r="I195" s="1746">
        <v>174</v>
      </c>
      <c r="J195" s="1765">
        <v>0</v>
      </c>
      <c r="K195" s="1745">
        <v>1555</v>
      </c>
      <c r="L195" s="1745" t="s">
        <v>2420</v>
      </c>
      <c r="M195" s="1730" t="s">
        <v>2420</v>
      </c>
    </row>
    <row r="196" spans="2:13" ht="28.8">
      <c r="B196" s="1744" t="s">
        <v>2596</v>
      </c>
      <c r="C196" s="1744">
        <v>2451</v>
      </c>
      <c r="D196" s="1744" t="s">
        <v>2505</v>
      </c>
      <c r="E196" s="1744" t="s">
        <v>1898</v>
      </c>
      <c r="F196" s="1744" t="s">
        <v>2506</v>
      </c>
      <c r="G196" s="1745">
        <v>98</v>
      </c>
      <c r="H196" s="1745">
        <v>97</v>
      </c>
      <c r="I196" s="1746"/>
      <c r="J196" s="1746"/>
      <c r="K196" s="1745">
        <v>2101</v>
      </c>
      <c r="L196" s="1745" t="s">
        <v>2420</v>
      </c>
      <c r="M196" s="1730" t="s">
        <v>2420</v>
      </c>
    </row>
    <row r="197" spans="2:13" ht="14.4">
      <c r="B197" s="1744" t="s">
        <v>1695</v>
      </c>
      <c r="C197" s="1744">
        <v>460</v>
      </c>
      <c r="D197" s="1744" t="s">
        <v>1545</v>
      </c>
      <c r="E197" s="1744" t="s">
        <v>1898</v>
      </c>
      <c r="F197" s="1744" t="s">
        <v>2043</v>
      </c>
      <c r="G197" s="1745">
        <v>42</v>
      </c>
      <c r="H197" s="1745">
        <v>41</v>
      </c>
      <c r="I197" s="1746"/>
      <c r="J197" s="1746"/>
      <c r="K197" s="1745">
        <v>282</v>
      </c>
      <c r="L197" s="1745" t="s">
        <v>2420</v>
      </c>
      <c r="M197" s="1730" t="s">
        <v>2420</v>
      </c>
    </row>
    <row r="198" spans="2:13" ht="14.4">
      <c r="B198" s="1744" t="s">
        <v>1763</v>
      </c>
      <c r="C198" s="1744">
        <v>241</v>
      </c>
      <c r="D198" s="1744" t="s">
        <v>1743</v>
      </c>
      <c r="E198" s="1744" t="s">
        <v>1898</v>
      </c>
      <c r="F198" s="1744" t="s">
        <v>2044</v>
      </c>
      <c r="G198" s="1745">
        <v>140</v>
      </c>
      <c r="H198" s="1745">
        <v>138</v>
      </c>
      <c r="I198" s="1746"/>
      <c r="J198" s="1746"/>
      <c r="K198" s="1745">
        <v>1074</v>
      </c>
      <c r="L198" s="1745" t="s">
        <v>2420</v>
      </c>
      <c r="M198" s="1730" t="s">
        <v>2420</v>
      </c>
    </row>
    <row r="199" spans="2:13" ht="28.8">
      <c r="B199" s="1744" t="s">
        <v>1303</v>
      </c>
      <c r="C199" s="1744" t="s">
        <v>1526</v>
      </c>
      <c r="D199" s="1744" t="s">
        <v>1527</v>
      </c>
      <c r="E199" s="1744" t="s">
        <v>1898</v>
      </c>
      <c r="F199" s="1744" t="s">
        <v>2045</v>
      </c>
      <c r="G199" s="1745">
        <v>54</v>
      </c>
      <c r="H199" s="1745">
        <v>37</v>
      </c>
      <c r="I199" s="1746"/>
      <c r="J199" s="1746"/>
      <c r="K199" s="1745">
        <v>1189</v>
      </c>
      <c r="L199" s="1745" t="s">
        <v>2420</v>
      </c>
      <c r="M199" s="1730" t="s">
        <v>2420</v>
      </c>
    </row>
    <row r="200" spans="2:13" ht="14.4">
      <c r="B200" s="1744" t="s">
        <v>1304</v>
      </c>
      <c r="C200" s="1744">
        <v>770</v>
      </c>
      <c r="D200" s="1744" t="s">
        <v>1565</v>
      </c>
      <c r="E200" s="1744" t="s">
        <v>1898</v>
      </c>
      <c r="F200" s="1744" t="s">
        <v>2046</v>
      </c>
      <c r="G200" s="1745">
        <v>14</v>
      </c>
      <c r="H200" s="1745">
        <v>13</v>
      </c>
      <c r="I200" s="1746"/>
      <c r="J200" s="1746"/>
      <c r="K200" s="1745">
        <v>992</v>
      </c>
      <c r="L200" s="1745" t="s">
        <v>2420</v>
      </c>
      <c r="M200" s="1730" t="s">
        <v>2420</v>
      </c>
    </row>
    <row r="201" spans="2:13" ht="14.4">
      <c r="B201" s="1744" t="s">
        <v>1305</v>
      </c>
      <c r="C201" s="1744">
        <v>1483</v>
      </c>
      <c r="D201" s="1744" t="s">
        <v>1566</v>
      </c>
      <c r="E201" s="1744" t="s">
        <v>1898</v>
      </c>
      <c r="F201" s="1744" t="s">
        <v>2047</v>
      </c>
      <c r="G201" s="1745">
        <v>70</v>
      </c>
      <c r="H201" s="1745">
        <v>69</v>
      </c>
      <c r="I201" s="1746"/>
      <c r="J201" s="1746"/>
      <c r="K201" s="1745">
        <v>87</v>
      </c>
      <c r="L201" s="1745" t="s">
        <v>2420</v>
      </c>
      <c r="M201" s="1730" t="s">
        <v>2420</v>
      </c>
    </row>
    <row r="202" spans="2:13" ht="28.8">
      <c r="B202" s="1744" t="s">
        <v>1633</v>
      </c>
      <c r="C202" s="1744">
        <v>1303</v>
      </c>
      <c r="D202" s="1744" t="s">
        <v>1634</v>
      </c>
      <c r="E202" s="1744" t="s">
        <v>1898</v>
      </c>
      <c r="F202" s="1744" t="s">
        <v>2048</v>
      </c>
      <c r="G202" s="1745">
        <v>63</v>
      </c>
      <c r="H202" s="1745">
        <v>62</v>
      </c>
      <c r="I202" s="1746"/>
      <c r="J202" s="1746"/>
      <c r="K202" s="1745">
        <v>58</v>
      </c>
      <c r="L202" s="1745" t="s">
        <v>2420</v>
      </c>
      <c r="M202" s="1730" t="s">
        <v>2420</v>
      </c>
    </row>
    <row r="203" spans="2:13" ht="28.8">
      <c r="B203" s="1744" t="s">
        <v>1335</v>
      </c>
      <c r="C203" s="1744">
        <v>129</v>
      </c>
      <c r="D203" s="1744" t="s">
        <v>1528</v>
      </c>
      <c r="E203" s="1744" t="s">
        <v>1898</v>
      </c>
      <c r="F203" s="1744" t="s">
        <v>2049</v>
      </c>
      <c r="G203" s="1745">
        <v>12</v>
      </c>
      <c r="H203" s="1745">
        <v>12</v>
      </c>
      <c r="I203" s="1746"/>
      <c r="J203" s="1746"/>
      <c r="K203" s="1745">
        <v>1048</v>
      </c>
      <c r="L203" s="1745" t="s">
        <v>2420</v>
      </c>
      <c r="M203" s="1730" t="s">
        <v>2420</v>
      </c>
    </row>
    <row r="204" spans="2:13" ht="14.4">
      <c r="B204" s="1744" t="s">
        <v>1693</v>
      </c>
      <c r="C204" s="1744">
        <v>441</v>
      </c>
      <c r="D204" s="1744" t="s">
        <v>1545</v>
      </c>
      <c r="E204" s="1744" t="s">
        <v>1898</v>
      </c>
      <c r="F204" s="1744" t="s">
        <v>2050</v>
      </c>
      <c r="G204" s="1745">
        <v>81</v>
      </c>
      <c r="H204" s="1745">
        <v>80</v>
      </c>
      <c r="I204" s="1746"/>
      <c r="J204" s="1746"/>
      <c r="K204" s="1745">
        <v>277</v>
      </c>
      <c r="L204" s="1745" t="s">
        <v>2420</v>
      </c>
      <c r="M204" s="1730" t="s">
        <v>2420</v>
      </c>
    </row>
    <row r="205" spans="2:13" ht="28.8">
      <c r="B205" s="1744" t="s">
        <v>1734</v>
      </c>
      <c r="C205" s="1744">
        <v>1555</v>
      </c>
      <c r="D205" s="1744" t="s">
        <v>1521</v>
      </c>
      <c r="E205" s="1744" t="s">
        <v>1898</v>
      </c>
      <c r="F205" s="1744" t="s">
        <v>2051</v>
      </c>
      <c r="G205" s="1745">
        <v>52</v>
      </c>
      <c r="H205" s="1745">
        <v>51</v>
      </c>
      <c r="I205" s="1746"/>
      <c r="J205" s="1746"/>
      <c r="K205" s="1745">
        <v>1005</v>
      </c>
      <c r="L205" s="1745" t="s">
        <v>2420</v>
      </c>
      <c r="M205" s="1730" t="s">
        <v>2420</v>
      </c>
    </row>
    <row r="206" spans="2:13" ht="28.8">
      <c r="B206" s="1744" t="s">
        <v>1656</v>
      </c>
      <c r="C206" s="1744">
        <v>2155</v>
      </c>
      <c r="D206" s="1744" t="s">
        <v>1649</v>
      </c>
      <c r="E206" s="1744" t="s">
        <v>1898</v>
      </c>
      <c r="F206" s="1744" t="s">
        <v>2052</v>
      </c>
      <c r="G206" s="1745">
        <v>48</v>
      </c>
      <c r="H206" s="1745">
        <v>48</v>
      </c>
      <c r="I206" s="1746"/>
      <c r="J206" s="1746"/>
      <c r="K206" s="1745">
        <v>160</v>
      </c>
      <c r="L206" s="1745" t="s">
        <v>2420</v>
      </c>
      <c r="M206" s="1730" t="s">
        <v>2420</v>
      </c>
    </row>
    <row r="207" spans="2:13" ht="14.4">
      <c r="B207" s="1744" t="s">
        <v>1306</v>
      </c>
      <c r="C207" s="1744">
        <v>980</v>
      </c>
      <c r="D207" s="1744" t="s">
        <v>1543</v>
      </c>
      <c r="E207" s="1744" t="s">
        <v>1898</v>
      </c>
      <c r="F207" s="1744" t="s">
        <v>2053</v>
      </c>
      <c r="G207" s="1745">
        <v>24</v>
      </c>
      <c r="H207" s="1745">
        <v>23</v>
      </c>
      <c r="I207" s="1746"/>
      <c r="J207" s="1746"/>
      <c r="K207" s="1745">
        <v>405</v>
      </c>
      <c r="L207" s="1745" t="s">
        <v>2420</v>
      </c>
      <c r="M207" s="1730" t="s">
        <v>2420</v>
      </c>
    </row>
    <row r="208" spans="2:13" ht="28.8">
      <c r="B208" s="1744" t="s">
        <v>1798</v>
      </c>
      <c r="C208" s="1744">
        <v>1315</v>
      </c>
      <c r="D208" s="1744" t="s">
        <v>1799</v>
      </c>
      <c r="E208" s="1744" t="s">
        <v>1898</v>
      </c>
      <c r="F208" s="1744" t="s">
        <v>2054</v>
      </c>
      <c r="G208" s="1745">
        <v>72</v>
      </c>
      <c r="H208" s="1745">
        <v>71</v>
      </c>
      <c r="I208" s="1746"/>
      <c r="J208" s="1746"/>
      <c r="K208" s="1745">
        <v>1256</v>
      </c>
      <c r="L208" s="1745" t="s">
        <v>2420</v>
      </c>
      <c r="M208" s="1730" t="s">
        <v>2420</v>
      </c>
    </row>
    <row r="209" spans="2:13" ht="14.4">
      <c r="B209" s="1744" t="s">
        <v>1307</v>
      </c>
      <c r="C209" s="1744">
        <v>140</v>
      </c>
      <c r="D209" s="1744" t="s">
        <v>1549</v>
      </c>
      <c r="E209" s="1744" t="s">
        <v>1898</v>
      </c>
      <c r="F209" s="1744" t="s">
        <v>2055</v>
      </c>
      <c r="G209" s="1745">
        <v>58</v>
      </c>
      <c r="H209" s="1745">
        <v>58</v>
      </c>
      <c r="I209" s="1746"/>
      <c r="J209" s="1746"/>
      <c r="K209" s="1745">
        <v>72</v>
      </c>
      <c r="L209" s="1745" t="s">
        <v>2420</v>
      </c>
      <c r="M209" s="1730" t="s">
        <v>2420</v>
      </c>
    </row>
    <row r="210" spans="2:13" ht="14.4">
      <c r="B210" s="1744" t="s">
        <v>1841</v>
      </c>
      <c r="C210" s="1744">
        <v>350</v>
      </c>
      <c r="D210" s="1744" t="s">
        <v>2542</v>
      </c>
      <c r="E210" s="1744" t="s">
        <v>1902</v>
      </c>
      <c r="F210" s="1744" t="s">
        <v>2056</v>
      </c>
      <c r="G210" s="1745">
        <v>70</v>
      </c>
      <c r="H210" s="1745">
        <v>69</v>
      </c>
      <c r="I210" s="1746"/>
      <c r="J210" s="1746"/>
      <c r="K210" s="1745">
        <v>1619</v>
      </c>
      <c r="L210" s="1745" t="s">
        <v>2420</v>
      </c>
      <c r="M210" s="1730" t="s">
        <v>2420</v>
      </c>
    </row>
    <row r="211" spans="2:13" ht="14.4">
      <c r="B211" s="1744" t="s">
        <v>1659</v>
      </c>
      <c r="C211" s="1744">
        <v>22</v>
      </c>
      <c r="D211" s="1744" t="s">
        <v>1616</v>
      </c>
      <c r="E211" s="1744" t="s">
        <v>2057</v>
      </c>
      <c r="F211" s="1744" t="s">
        <v>2058</v>
      </c>
      <c r="G211" s="1745">
        <v>44</v>
      </c>
      <c r="H211" s="1745">
        <v>44</v>
      </c>
      <c r="I211" s="1746"/>
      <c r="J211" s="1746"/>
      <c r="K211" s="1745">
        <v>166</v>
      </c>
      <c r="L211" s="1745" t="s">
        <v>2420</v>
      </c>
      <c r="M211" s="1730" t="s">
        <v>2420</v>
      </c>
    </row>
    <row r="212" spans="2:13" ht="28.8">
      <c r="B212" s="1744" t="s">
        <v>2642</v>
      </c>
      <c r="C212" s="1744">
        <v>2973</v>
      </c>
      <c r="D212" s="1744" t="s">
        <v>1551</v>
      </c>
      <c r="E212" s="1744" t="s">
        <v>1898</v>
      </c>
      <c r="F212" s="1744" t="s">
        <v>2059</v>
      </c>
      <c r="G212" s="1745">
        <v>2</v>
      </c>
      <c r="H212" s="1745">
        <v>2</v>
      </c>
      <c r="I212" s="1746"/>
      <c r="J212" s="1746"/>
      <c r="K212" s="1745">
        <v>212</v>
      </c>
      <c r="L212" s="1745" t="s">
        <v>2420</v>
      </c>
      <c r="M212" s="1730" t="s">
        <v>2420</v>
      </c>
    </row>
    <row r="213" spans="2:13" ht="28.8">
      <c r="B213" s="1744" t="s">
        <v>1701</v>
      </c>
      <c r="C213" s="1744">
        <v>3090</v>
      </c>
      <c r="D213" s="1744" t="s">
        <v>1671</v>
      </c>
      <c r="E213" s="1744" t="s">
        <v>1898</v>
      </c>
      <c r="F213" s="1744" t="s">
        <v>2060</v>
      </c>
      <c r="G213" s="1745">
        <v>20</v>
      </c>
      <c r="H213" s="1745">
        <v>11</v>
      </c>
      <c r="I213" s="1746"/>
      <c r="J213" s="1746"/>
      <c r="K213" s="1745">
        <v>292</v>
      </c>
      <c r="L213" s="1745" t="s">
        <v>2420</v>
      </c>
      <c r="M213" s="1730" t="s">
        <v>2420</v>
      </c>
    </row>
    <row r="214" spans="2:13" ht="14.4">
      <c r="B214" s="1744" t="s">
        <v>1781</v>
      </c>
      <c r="C214" s="1744">
        <v>174</v>
      </c>
      <c r="D214" s="1744" t="s">
        <v>1545</v>
      </c>
      <c r="E214" s="1744" t="s">
        <v>1898</v>
      </c>
      <c r="F214" s="1744" t="s">
        <v>2061</v>
      </c>
      <c r="G214" s="1745">
        <v>119</v>
      </c>
      <c r="H214" s="1745">
        <v>119</v>
      </c>
      <c r="I214" s="1746"/>
      <c r="J214" s="1746"/>
      <c r="K214" s="1745">
        <v>1192</v>
      </c>
      <c r="L214" s="1745" t="s">
        <v>2420</v>
      </c>
      <c r="M214" s="1730" t="s">
        <v>2420</v>
      </c>
    </row>
    <row r="215" spans="2:13" ht="14.4">
      <c r="B215" s="1744" t="s">
        <v>1702</v>
      </c>
      <c r="C215" s="1744">
        <v>2445</v>
      </c>
      <c r="D215" s="1744" t="s">
        <v>1703</v>
      </c>
      <c r="E215" s="1744" t="s">
        <v>1898</v>
      </c>
      <c r="F215" s="1744" t="s">
        <v>2062</v>
      </c>
      <c r="G215" s="1745">
        <v>63</v>
      </c>
      <c r="H215" s="1745">
        <v>62</v>
      </c>
      <c r="I215" s="1746"/>
      <c r="J215" s="1746"/>
      <c r="K215" s="1745">
        <v>299</v>
      </c>
      <c r="L215" s="1745" t="s">
        <v>2420</v>
      </c>
      <c r="M215" s="1730" t="s">
        <v>2420</v>
      </c>
    </row>
    <row r="216" spans="2:13" ht="14.4">
      <c r="B216" s="1744" t="s">
        <v>1611</v>
      </c>
      <c r="C216" s="1744">
        <v>1000</v>
      </c>
      <c r="D216" s="1744" t="s">
        <v>1612</v>
      </c>
      <c r="E216" s="1744" t="s">
        <v>1902</v>
      </c>
      <c r="F216" s="1744" t="s">
        <v>2063</v>
      </c>
      <c r="G216" s="1745">
        <v>46</v>
      </c>
      <c r="H216" s="1745">
        <v>45</v>
      </c>
      <c r="I216" s="1746"/>
      <c r="J216" s="1746"/>
      <c r="K216" s="1745">
        <v>5</v>
      </c>
      <c r="L216" s="1745" t="s">
        <v>2420</v>
      </c>
      <c r="M216" s="1730" t="s">
        <v>2420</v>
      </c>
    </row>
    <row r="217" spans="2:13" ht="14.4">
      <c r="B217" s="1744" t="s">
        <v>1772</v>
      </c>
      <c r="C217" s="1744" t="s">
        <v>1773</v>
      </c>
      <c r="D217" s="1744" t="s">
        <v>1549</v>
      </c>
      <c r="E217" s="1744" t="s">
        <v>1898</v>
      </c>
      <c r="F217" s="1744" t="s">
        <v>2064</v>
      </c>
      <c r="G217" s="1745">
        <v>151</v>
      </c>
      <c r="H217" s="1745">
        <v>150</v>
      </c>
      <c r="I217" s="1746"/>
      <c r="J217" s="1746"/>
      <c r="K217" s="1745">
        <v>1169</v>
      </c>
      <c r="L217" s="1745" t="s">
        <v>2420</v>
      </c>
      <c r="M217" s="1730" t="s">
        <v>2420</v>
      </c>
    </row>
    <row r="218" spans="2:13" ht="57.6">
      <c r="B218" s="1744" t="s">
        <v>1334</v>
      </c>
      <c r="C218" s="1744">
        <v>1680</v>
      </c>
      <c r="D218" s="1744" t="s">
        <v>1529</v>
      </c>
      <c r="E218" s="1744" t="s">
        <v>1898</v>
      </c>
      <c r="F218" s="1744" t="s">
        <v>2065</v>
      </c>
      <c r="G218" s="1745">
        <v>211</v>
      </c>
      <c r="H218" s="1745">
        <v>211</v>
      </c>
      <c r="I218" s="1746"/>
      <c r="J218" s="1746"/>
      <c r="K218" s="1745">
        <v>1231</v>
      </c>
      <c r="L218" s="1745" t="s">
        <v>2420</v>
      </c>
      <c r="M218" s="1730" t="s">
        <v>2420</v>
      </c>
    </row>
    <row r="219" spans="2:13" ht="14.4">
      <c r="B219" s="1744" t="s">
        <v>1308</v>
      </c>
      <c r="C219" s="1744">
        <v>1040</v>
      </c>
      <c r="D219" s="1744" t="s">
        <v>1527</v>
      </c>
      <c r="E219" s="1744" t="s">
        <v>1898</v>
      </c>
      <c r="F219" s="1744" t="s">
        <v>2066</v>
      </c>
      <c r="G219" s="1745">
        <v>92</v>
      </c>
      <c r="H219" s="1745">
        <v>88</v>
      </c>
      <c r="I219" s="1746"/>
      <c r="J219" s="1746"/>
      <c r="K219" s="1745">
        <v>12</v>
      </c>
      <c r="L219" s="1745" t="s">
        <v>2420</v>
      </c>
      <c r="M219" s="1730" t="s">
        <v>2420</v>
      </c>
    </row>
    <row r="220" spans="2:13" ht="28.8">
      <c r="B220" s="1744" t="s">
        <v>2597</v>
      </c>
      <c r="C220" s="1744" t="s">
        <v>1815</v>
      </c>
      <c r="D220" s="1744" t="s">
        <v>2542</v>
      </c>
      <c r="E220" s="1744" t="s">
        <v>1902</v>
      </c>
      <c r="F220" s="1744" t="s">
        <v>2067</v>
      </c>
      <c r="G220" s="1745">
        <v>100</v>
      </c>
      <c r="H220" s="1745">
        <v>99</v>
      </c>
      <c r="I220" s="1746"/>
      <c r="J220" s="1746"/>
      <c r="K220" s="1745">
        <v>1400</v>
      </c>
      <c r="L220" s="1745" t="s">
        <v>2420</v>
      </c>
      <c r="M220" s="1730" t="s">
        <v>2420</v>
      </c>
    </row>
    <row r="221" spans="2:13" ht="28.8">
      <c r="B221" s="1744" t="s">
        <v>1309</v>
      </c>
      <c r="C221" s="1744">
        <v>1840</v>
      </c>
      <c r="D221" s="1744" t="s">
        <v>1555</v>
      </c>
      <c r="E221" s="1744" t="s">
        <v>1898</v>
      </c>
      <c r="F221" s="1744" t="s">
        <v>2068</v>
      </c>
      <c r="G221" s="1745">
        <v>10</v>
      </c>
      <c r="H221" s="1745">
        <v>0</v>
      </c>
      <c r="I221" s="1746"/>
      <c r="J221" s="1746"/>
      <c r="K221" s="1745">
        <v>1309</v>
      </c>
      <c r="L221" s="1745" t="s">
        <v>2420</v>
      </c>
      <c r="M221" s="1730" t="s">
        <v>2420</v>
      </c>
    </row>
    <row r="222" spans="2:13" ht="14.4">
      <c r="B222" s="1744" t="s">
        <v>1610</v>
      </c>
      <c r="C222" s="1744">
        <v>1509</v>
      </c>
      <c r="D222" s="1744" t="s">
        <v>1525</v>
      </c>
      <c r="E222" s="1744" t="s">
        <v>1898</v>
      </c>
      <c r="F222" s="1744" t="s">
        <v>2069</v>
      </c>
      <c r="G222" s="1745">
        <v>36</v>
      </c>
      <c r="H222" s="1745">
        <v>22</v>
      </c>
      <c r="I222" s="1745"/>
      <c r="J222" s="1747"/>
      <c r="K222" s="1745">
        <v>3</v>
      </c>
      <c r="L222" s="1745" t="s">
        <v>2420</v>
      </c>
      <c r="M222" s="1730" t="s">
        <v>2420</v>
      </c>
    </row>
    <row r="223" spans="2:13" ht="28.8">
      <c r="B223" s="1744" t="s">
        <v>2510</v>
      </c>
      <c r="C223" s="1744">
        <v>2976</v>
      </c>
      <c r="D223" s="1744" t="s">
        <v>1674</v>
      </c>
      <c r="E223" s="1744" t="s">
        <v>1898</v>
      </c>
      <c r="F223" s="1744" t="s">
        <v>2511</v>
      </c>
      <c r="G223" s="1745">
        <v>14</v>
      </c>
      <c r="H223" s="1745">
        <v>14</v>
      </c>
      <c r="I223" s="1746"/>
      <c r="J223" s="1746"/>
      <c r="K223" s="1745">
        <v>2296</v>
      </c>
      <c r="L223" s="1745" t="s">
        <v>2420</v>
      </c>
      <c r="M223" s="1730" t="s">
        <v>2420</v>
      </c>
    </row>
    <row r="224" spans="2:13" ht="14.4">
      <c r="B224" s="1744" t="s">
        <v>1310</v>
      </c>
      <c r="C224" s="1744">
        <v>240</v>
      </c>
      <c r="D224" s="1744" t="s">
        <v>1528</v>
      </c>
      <c r="E224" s="1744" t="s">
        <v>1898</v>
      </c>
      <c r="F224" s="1744" t="s">
        <v>2070</v>
      </c>
      <c r="G224" s="1745">
        <v>77</v>
      </c>
      <c r="H224" s="1745">
        <v>77</v>
      </c>
      <c r="I224" s="1746"/>
      <c r="J224" s="1746"/>
      <c r="K224" s="1745">
        <v>1032</v>
      </c>
      <c r="L224" s="1745" t="s">
        <v>2420</v>
      </c>
      <c r="M224" s="1730" t="s">
        <v>2420</v>
      </c>
    </row>
    <row r="225" spans="2:13" ht="28.8">
      <c r="B225" s="1744" t="s">
        <v>1618</v>
      </c>
      <c r="C225" s="1744" t="s">
        <v>1619</v>
      </c>
      <c r="D225" s="1744" t="s">
        <v>1620</v>
      </c>
      <c r="E225" s="1744" t="s">
        <v>1898</v>
      </c>
      <c r="F225" s="1744" t="s">
        <v>2071</v>
      </c>
      <c r="G225" s="1745">
        <v>26</v>
      </c>
      <c r="H225" s="1745">
        <v>25</v>
      </c>
      <c r="I225" s="1746"/>
      <c r="J225" s="1746"/>
      <c r="K225" s="1745">
        <v>1002</v>
      </c>
      <c r="L225" s="1745" t="s">
        <v>2420</v>
      </c>
      <c r="M225" s="1730" t="s">
        <v>2420</v>
      </c>
    </row>
    <row r="226" spans="2:13" ht="28.8">
      <c r="B226" s="1744" t="s">
        <v>1803</v>
      </c>
      <c r="C226" s="1744">
        <v>225</v>
      </c>
      <c r="D226" s="1744" t="s">
        <v>1626</v>
      </c>
      <c r="E226" s="1744" t="s">
        <v>1898</v>
      </c>
      <c r="F226" s="1744" t="s">
        <v>2072</v>
      </c>
      <c r="G226" s="1745">
        <v>140</v>
      </c>
      <c r="H226" s="1745">
        <v>139</v>
      </c>
      <c r="I226" s="1745">
        <v>51</v>
      </c>
      <c r="J226" s="1747">
        <v>665179</v>
      </c>
      <c r="K226" s="1745">
        <v>1311</v>
      </c>
      <c r="L226" s="1745" t="s">
        <v>2420</v>
      </c>
      <c r="M226" s="1730" t="s">
        <v>2420</v>
      </c>
    </row>
    <row r="227" spans="2:13" ht="43.2">
      <c r="B227" s="1744" t="s">
        <v>2512</v>
      </c>
      <c r="C227" s="1744">
        <v>1855</v>
      </c>
      <c r="D227" s="1744" t="s">
        <v>1645</v>
      </c>
      <c r="E227" s="1744" t="s">
        <v>1898</v>
      </c>
      <c r="F227" s="1744" t="s">
        <v>2513</v>
      </c>
      <c r="G227" s="1745">
        <v>91</v>
      </c>
      <c r="H227" s="1745">
        <v>90</v>
      </c>
      <c r="I227" s="1745"/>
      <c r="J227" s="1747"/>
      <c r="K227" s="1745">
        <v>2096</v>
      </c>
      <c r="L227" s="1745" t="s">
        <v>2420</v>
      </c>
      <c r="M227" s="1730" t="s">
        <v>2420</v>
      </c>
    </row>
    <row r="228" spans="2:13" ht="28.8">
      <c r="B228" s="1744" t="s">
        <v>1731</v>
      </c>
      <c r="C228" s="1744">
        <v>118</v>
      </c>
      <c r="D228" s="1744" t="s">
        <v>1732</v>
      </c>
      <c r="E228" s="1744" t="s">
        <v>1898</v>
      </c>
      <c r="F228" s="1744" t="s">
        <v>2073</v>
      </c>
      <c r="G228" s="1745">
        <v>20</v>
      </c>
      <c r="H228" s="1745">
        <v>19</v>
      </c>
      <c r="I228" s="1746"/>
      <c r="J228" s="1746"/>
      <c r="K228" s="1745">
        <v>979</v>
      </c>
      <c r="L228" s="1745" t="s">
        <v>2420</v>
      </c>
      <c r="M228" s="1730" t="s">
        <v>2420</v>
      </c>
    </row>
    <row r="229" spans="2:13" ht="28.8">
      <c r="B229" s="1744" t="s">
        <v>1726</v>
      </c>
      <c r="C229" s="1744">
        <v>403</v>
      </c>
      <c r="D229" s="1744" t="s">
        <v>1727</v>
      </c>
      <c r="E229" s="1744" t="s">
        <v>2074</v>
      </c>
      <c r="F229" s="1744" t="s">
        <v>2075</v>
      </c>
      <c r="G229" s="1745">
        <v>4</v>
      </c>
      <c r="H229" s="1745">
        <v>4</v>
      </c>
      <c r="I229" s="1746">
        <v>0</v>
      </c>
      <c r="J229" s="1765">
        <v>36213</v>
      </c>
      <c r="K229" s="1745">
        <v>957</v>
      </c>
      <c r="L229" s="1745" t="s">
        <v>2420</v>
      </c>
      <c r="M229" s="1730" t="s">
        <v>2420</v>
      </c>
    </row>
    <row r="230" spans="2:13" ht="28.8">
      <c r="B230" s="1744" t="s">
        <v>1807</v>
      </c>
      <c r="C230" s="1744">
        <v>680</v>
      </c>
      <c r="D230" s="1744" t="s">
        <v>1808</v>
      </c>
      <c r="E230" s="1744" t="s">
        <v>1898</v>
      </c>
      <c r="F230" s="1744" t="s">
        <v>2076</v>
      </c>
      <c r="G230" s="1745">
        <v>93</v>
      </c>
      <c r="H230" s="1745">
        <v>92</v>
      </c>
      <c r="I230" s="1746">
        <v>20</v>
      </c>
      <c r="J230" s="1765">
        <v>168685</v>
      </c>
      <c r="K230" s="1745">
        <v>1323</v>
      </c>
      <c r="L230" s="1745" t="s">
        <v>2420</v>
      </c>
      <c r="M230" s="1730" t="s">
        <v>2420</v>
      </c>
    </row>
    <row r="231" spans="2:13" ht="28.8">
      <c r="B231" s="1744" t="s">
        <v>1820</v>
      </c>
      <c r="C231" s="1744">
        <v>655</v>
      </c>
      <c r="D231" s="1744" t="s">
        <v>1821</v>
      </c>
      <c r="E231" s="1744" t="s">
        <v>1898</v>
      </c>
      <c r="F231" s="1744" t="s">
        <v>2077</v>
      </c>
      <c r="G231" s="1745">
        <v>24</v>
      </c>
      <c r="H231" s="1745">
        <v>24</v>
      </c>
      <c r="I231" s="1746">
        <v>15</v>
      </c>
      <c r="J231" s="1765">
        <v>50182</v>
      </c>
      <c r="K231" s="1745">
        <v>1530</v>
      </c>
      <c r="L231" s="1745" t="s">
        <v>2420</v>
      </c>
      <c r="M231" s="1730" t="s">
        <v>2420</v>
      </c>
    </row>
    <row r="232" spans="2:13" ht="14.4">
      <c r="B232" s="1744" t="s">
        <v>1683</v>
      </c>
      <c r="C232" s="1744">
        <v>374</v>
      </c>
      <c r="D232" s="1744" t="s">
        <v>1684</v>
      </c>
      <c r="E232" s="1744" t="s">
        <v>1898</v>
      </c>
      <c r="F232" s="1744" t="s">
        <v>2078</v>
      </c>
      <c r="G232" s="1745">
        <v>9</v>
      </c>
      <c r="H232" s="1745">
        <v>9</v>
      </c>
      <c r="I232" s="1746"/>
      <c r="J232" s="1746"/>
      <c r="K232" s="1745">
        <v>253</v>
      </c>
      <c r="L232" s="1745" t="s">
        <v>2420</v>
      </c>
      <c r="M232" s="1730" t="s">
        <v>2420</v>
      </c>
    </row>
    <row r="233" spans="2:13" ht="14.4">
      <c r="B233" s="1744" t="s">
        <v>1769</v>
      </c>
      <c r="C233" s="1744">
        <v>1776</v>
      </c>
      <c r="D233" s="1744" t="s">
        <v>1770</v>
      </c>
      <c r="E233" s="1744" t="s">
        <v>1898</v>
      </c>
      <c r="F233" s="1744" t="s">
        <v>2079</v>
      </c>
      <c r="G233" s="1745">
        <v>34</v>
      </c>
      <c r="H233" s="1745">
        <v>33</v>
      </c>
      <c r="I233" s="1746"/>
      <c r="J233" s="1746"/>
      <c r="K233" s="1745">
        <v>1164</v>
      </c>
      <c r="L233" s="1745" t="s">
        <v>2420</v>
      </c>
      <c r="M233" s="1730" t="s">
        <v>2420</v>
      </c>
    </row>
    <row r="234" spans="2:13" ht="28.8">
      <c r="B234" s="1744" t="s">
        <v>1787</v>
      </c>
      <c r="C234" s="1744">
        <v>474</v>
      </c>
      <c r="D234" s="1744" t="s">
        <v>1522</v>
      </c>
      <c r="E234" s="1744" t="s">
        <v>1898</v>
      </c>
      <c r="F234" s="1744" t="s">
        <v>2080</v>
      </c>
      <c r="G234" s="1745">
        <v>60</v>
      </c>
      <c r="H234" s="1745">
        <v>59</v>
      </c>
      <c r="I234" s="1746"/>
      <c r="J234" s="1746"/>
      <c r="K234" s="1745">
        <v>1233</v>
      </c>
      <c r="L234" s="1745" t="s">
        <v>2420</v>
      </c>
      <c r="M234" s="1730" t="s">
        <v>2420</v>
      </c>
    </row>
    <row r="235" spans="2:13" ht="14.4">
      <c r="B235" s="1744" t="s">
        <v>1797</v>
      </c>
      <c r="C235" s="1744">
        <v>455</v>
      </c>
      <c r="D235" s="1744" t="s">
        <v>1725</v>
      </c>
      <c r="E235" s="1744" t="s">
        <v>1898</v>
      </c>
      <c r="F235" s="1744" t="s">
        <v>2081</v>
      </c>
      <c r="G235" s="1745">
        <v>341</v>
      </c>
      <c r="H235" s="1745">
        <v>112</v>
      </c>
      <c r="I235" s="1746"/>
      <c r="J235" s="1746"/>
      <c r="K235" s="1745">
        <v>1255</v>
      </c>
      <c r="L235" s="1745" t="s">
        <v>2420</v>
      </c>
      <c r="M235" s="1730" t="s">
        <v>2420</v>
      </c>
    </row>
    <row r="236" spans="2:13" ht="28.8">
      <c r="B236" s="1744" t="s">
        <v>1780</v>
      </c>
      <c r="C236" s="1744">
        <v>1590</v>
      </c>
      <c r="D236" s="1744" t="s">
        <v>1624</v>
      </c>
      <c r="E236" s="1744" t="s">
        <v>2420</v>
      </c>
      <c r="F236" s="1744" t="s">
        <v>2448</v>
      </c>
      <c r="G236" s="1745">
        <v>204</v>
      </c>
      <c r="H236" s="1745">
        <v>201</v>
      </c>
      <c r="I236" s="1746"/>
      <c r="J236" s="1746"/>
      <c r="K236" s="1745">
        <v>1191</v>
      </c>
      <c r="L236" s="1745" t="s">
        <v>2420</v>
      </c>
      <c r="M236" s="1730" t="s">
        <v>2420</v>
      </c>
    </row>
    <row r="237" spans="2:13" ht="14.4">
      <c r="B237" s="1744" t="s">
        <v>1682</v>
      </c>
      <c r="C237" s="1744">
        <v>347</v>
      </c>
      <c r="D237" s="1744" t="s">
        <v>1538</v>
      </c>
      <c r="E237" s="1744" t="s">
        <v>1898</v>
      </c>
      <c r="F237" s="1744" t="s">
        <v>2082</v>
      </c>
      <c r="G237" s="1745">
        <v>66</v>
      </c>
      <c r="H237" s="1745">
        <v>65</v>
      </c>
      <c r="I237" s="1746"/>
      <c r="J237" s="1746"/>
      <c r="K237" s="1745">
        <v>242</v>
      </c>
      <c r="L237" s="1745" t="s">
        <v>2420</v>
      </c>
      <c r="M237" s="1730" t="s">
        <v>2420</v>
      </c>
    </row>
    <row r="238" spans="2:13" ht="28.8">
      <c r="B238" s="1744" t="s">
        <v>1785</v>
      </c>
      <c r="C238" s="1744" t="s">
        <v>1786</v>
      </c>
      <c r="D238" s="1744" t="s">
        <v>2543</v>
      </c>
      <c r="E238" s="1744" t="s">
        <v>1898</v>
      </c>
      <c r="F238" s="1744" t="s">
        <v>2083</v>
      </c>
      <c r="G238" s="1745">
        <v>85</v>
      </c>
      <c r="H238" s="1745">
        <v>84</v>
      </c>
      <c r="I238" s="1746"/>
      <c r="J238" s="1746"/>
      <c r="K238" s="1745">
        <v>1232</v>
      </c>
      <c r="L238" s="1745" t="s">
        <v>2420</v>
      </c>
      <c r="M238" s="1730" t="s">
        <v>2420</v>
      </c>
    </row>
    <row r="239" spans="2:13" ht="14.4">
      <c r="B239" s="1744" t="s">
        <v>1855</v>
      </c>
      <c r="C239" s="1744">
        <v>261</v>
      </c>
      <c r="D239" s="1744" t="s">
        <v>1856</v>
      </c>
      <c r="E239" s="1744" t="s">
        <v>1898</v>
      </c>
      <c r="F239" s="1744" t="s">
        <v>2084</v>
      </c>
      <c r="G239" s="1745">
        <v>15</v>
      </c>
      <c r="H239" s="1745">
        <v>14</v>
      </c>
      <c r="I239" s="1746"/>
      <c r="J239" s="1746"/>
      <c r="K239" s="1745">
        <v>1862</v>
      </c>
      <c r="L239" s="1745" t="s">
        <v>2420</v>
      </c>
      <c r="M239" s="1730" t="s">
        <v>2420</v>
      </c>
    </row>
    <row r="240" spans="2:13" ht="14.4">
      <c r="B240" s="1744" t="s">
        <v>1311</v>
      </c>
      <c r="C240" s="1744">
        <v>484</v>
      </c>
      <c r="D240" s="1744" t="s">
        <v>1541</v>
      </c>
      <c r="E240" s="1744" t="s">
        <v>1898</v>
      </c>
      <c r="F240" s="1744" t="s">
        <v>2085</v>
      </c>
      <c r="G240" s="1745">
        <v>10</v>
      </c>
      <c r="H240" s="1745">
        <v>10</v>
      </c>
      <c r="I240" s="1746"/>
      <c r="J240" s="1746"/>
      <c r="K240" s="1745">
        <v>1143</v>
      </c>
      <c r="L240" s="1745" t="s">
        <v>2420</v>
      </c>
      <c r="M240" s="1730" t="s">
        <v>2420</v>
      </c>
    </row>
    <row r="241" spans="2:13" ht="14.4">
      <c r="B241" s="1744" t="s">
        <v>1779</v>
      </c>
      <c r="C241" s="1744">
        <v>477</v>
      </c>
      <c r="D241" s="1744" t="s">
        <v>1546</v>
      </c>
      <c r="E241" s="1744" t="s">
        <v>1898</v>
      </c>
      <c r="F241" s="1744" t="s">
        <v>2086</v>
      </c>
      <c r="G241" s="1745">
        <v>101</v>
      </c>
      <c r="H241" s="1745">
        <v>100</v>
      </c>
      <c r="I241" s="1746"/>
      <c r="J241" s="1746"/>
      <c r="K241" s="1745">
        <v>1190</v>
      </c>
      <c r="L241" s="1745" t="s">
        <v>2420</v>
      </c>
      <c r="M241" s="1730" t="s">
        <v>2420</v>
      </c>
    </row>
    <row r="242" spans="2:13" ht="14.4">
      <c r="B242" s="1744" t="s">
        <v>2150</v>
      </c>
      <c r="C242" s="1744">
        <v>350</v>
      </c>
      <c r="D242" s="1744" t="s">
        <v>2151</v>
      </c>
      <c r="E242" s="1744" t="s">
        <v>1898</v>
      </c>
      <c r="F242" s="1744" t="s">
        <v>2449</v>
      </c>
      <c r="G242" s="1745">
        <v>60</v>
      </c>
      <c r="H242" s="1745">
        <v>59</v>
      </c>
      <c r="I242" s="1746"/>
      <c r="J242" s="1746"/>
      <c r="K242" s="1745">
        <v>2171</v>
      </c>
      <c r="L242" s="1745" t="s">
        <v>2420</v>
      </c>
      <c r="M242" s="1730" t="s">
        <v>2420</v>
      </c>
    </row>
    <row r="243" spans="2:13" ht="14.4">
      <c r="B243" s="1744" t="s">
        <v>1784</v>
      </c>
      <c r="C243" s="1744">
        <v>241</v>
      </c>
      <c r="D243" s="1744" t="s">
        <v>1549</v>
      </c>
      <c r="E243" s="1744" t="s">
        <v>1898</v>
      </c>
      <c r="F243" s="1744" t="s">
        <v>2087</v>
      </c>
      <c r="G243" s="1745">
        <v>41</v>
      </c>
      <c r="H243" s="1745">
        <v>40</v>
      </c>
      <c r="I243" s="1746"/>
      <c r="J243" s="1746"/>
      <c r="K243" s="1745">
        <v>1230</v>
      </c>
      <c r="L243" s="1745" t="s">
        <v>2420</v>
      </c>
      <c r="M243" s="1730" t="s">
        <v>2420</v>
      </c>
    </row>
    <row r="244" spans="2:13" ht="28.8">
      <c r="B244" s="1744" t="s">
        <v>1766</v>
      </c>
      <c r="C244" s="1744" t="s">
        <v>1767</v>
      </c>
      <c r="D244" s="1744" t="s">
        <v>1671</v>
      </c>
      <c r="E244" s="1744" t="s">
        <v>1898</v>
      </c>
      <c r="F244" s="1744" t="s">
        <v>2088</v>
      </c>
      <c r="G244" s="1745">
        <v>18</v>
      </c>
      <c r="H244" s="1745">
        <v>18</v>
      </c>
      <c r="I244" s="1746"/>
      <c r="J244" s="1746"/>
      <c r="K244" s="1745">
        <v>1137</v>
      </c>
      <c r="L244" s="1745" t="s">
        <v>2420</v>
      </c>
      <c r="M244" s="1730" t="s">
        <v>2420</v>
      </c>
    </row>
    <row r="245" spans="2:13" ht="14.4">
      <c r="B245" s="1744" t="s">
        <v>1615</v>
      </c>
      <c r="C245" s="1744">
        <v>102</v>
      </c>
      <c r="D245" s="1744" t="s">
        <v>1616</v>
      </c>
      <c r="E245" s="1744" t="s">
        <v>1898</v>
      </c>
      <c r="F245" s="1744" t="s">
        <v>2089</v>
      </c>
      <c r="G245" s="1745">
        <v>40</v>
      </c>
      <c r="H245" s="1745">
        <v>40</v>
      </c>
      <c r="I245" s="1746"/>
      <c r="J245" s="1746"/>
      <c r="K245" s="1745">
        <v>10</v>
      </c>
      <c r="L245" s="1745" t="s">
        <v>2420</v>
      </c>
      <c r="M245" s="1730" t="s">
        <v>2420</v>
      </c>
    </row>
    <row r="246" spans="2:13" ht="14.4">
      <c r="B246" s="1744" t="s">
        <v>2599</v>
      </c>
      <c r="C246" s="1744">
        <v>871</v>
      </c>
      <c r="D246" s="1744" t="s">
        <v>1521</v>
      </c>
      <c r="E246" s="1744" t="s">
        <v>1898</v>
      </c>
      <c r="F246" s="1744" t="s">
        <v>2600</v>
      </c>
      <c r="G246" s="1745">
        <v>101</v>
      </c>
      <c r="H246" s="1745">
        <v>100</v>
      </c>
      <c r="I246" s="1746">
        <v>0</v>
      </c>
      <c r="J246" s="1765">
        <v>167817</v>
      </c>
      <c r="K246" s="1745">
        <v>1888</v>
      </c>
      <c r="L246" s="1745" t="s">
        <v>2420</v>
      </c>
      <c r="M246" s="1730" t="s">
        <v>2420</v>
      </c>
    </row>
    <row r="247" spans="2:13" ht="28.8">
      <c r="B247" s="1744" t="s">
        <v>1635</v>
      </c>
      <c r="C247" s="1744">
        <v>1340</v>
      </c>
      <c r="D247" s="1744" t="s">
        <v>2542</v>
      </c>
      <c r="E247" s="1744" t="s">
        <v>1902</v>
      </c>
      <c r="F247" s="1744" t="s">
        <v>2090</v>
      </c>
      <c r="G247" s="1745">
        <v>32</v>
      </c>
      <c r="H247" s="1745">
        <v>31</v>
      </c>
      <c r="I247" s="1746"/>
      <c r="J247" s="1746"/>
      <c r="K247" s="1745">
        <v>63</v>
      </c>
      <c r="L247" s="1745" t="s">
        <v>2420</v>
      </c>
      <c r="M247" s="1730" t="s">
        <v>2420</v>
      </c>
    </row>
    <row r="248" spans="2:13" ht="28.8">
      <c r="B248" s="1744" t="s">
        <v>1660</v>
      </c>
      <c r="C248" s="1744">
        <v>220</v>
      </c>
      <c r="D248" s="1744" t="s">
        <v>1661</v>
      </c>
      <c r="E248" s="1744" t="s">
        <v>1898</v>
      </c>
      <c r="F248" s="1744" t="s">
        <v>2091</v>
      </c>
      <c r="G248" s="1745">
        <v>8</v>
      </c>
      <c r="H248" s="1745">
        <v>8</v>
      </c>
      <c r="I248" s="1745"/>
      <c r="J248" s="1747"/>
      <c r="K248" s="1745">
        <v>168</v>
      </c>
      <c r="L248" s="1745" t="s">
        <v>2420</v>
      </c>
      <c r="M248" s="1730" t="s">
        <v>2420</v>
      </c>
    </row>
    <row r="249" spans="2:13" ht="14.4">
      <c r="B249" s="1744" t="s">
        <v>1881</v>
      </c>
      <c r="C249" s="1744" t="s">
        <v>1882</v>
      </c>
      <c r="D249" s="1744" t="s">
        <v>1741</v>
      </c>
      <c r="E249" s="1744" t="s">
        <v>1898</v>
      </c>
      <c r="F249" s="1744" t="s">
        <v>2092</v>
      </c>
      <c r="G249" s="1745">
        <v>6</v>
      </c>
      <c r="H249" s="1745">
        <v>6</v>
      </c>
      <c r="I249" s="1746"/>
      <c r="J249" s="1765"/>
      <c r="K249" s="1745">
        <v>2115</v>
      </c>
      <c r="L249" s="1745" t="s">
        <v>2420</v>
      </c>
      <c r="M249" s="1730" t="s">
        <v>2420</v>
      </c>
    </row>
    <row r="250" spans="2:13" ht="28.8">
      <c r="B250" s="1744" t="s">
        <v>2514</v>
      </c>
      <c r="C250" s="1744" t="s">
        <v>2515</v>
      </c>
      <c r="D250" s="1744" t="s">
        <v>1864</v>
      </c>
      <c r="E250" s="1744" t="s">
        <v>1902</v>
      </c>
      <c r="F250" s="1744" t="s">
        <v>2516</v>
      </c>
      <c r="G250" s="1745">
        <v>234</v>
      </c>
      <c r="H250" s="1745">
        <v>233</v>
      </c>
      <c r="I250" s="1746"/>
      <c r="J250" s="1746"/>
      <c r="K250" s="1745">
        <v>2156</v>
      </c>
      <c r="L250" s="1745" t="s">
        <v>2420</v>
      </c>
      <c r="M250" s="1730" t="s">
        <v>2420</v>
      </c>
    </row>
    <row r="251" spans="2:13" ht="14.4">
      <c r="B251" s="1744" t="s">
        <v>2517</v>
      </c>
      <c r="C251" s="1744">
        <v>838</v>
      </c>
      <c r="D251" s="1744" t="s">
        <v>1864</v>
      </c>
      <c r="E251" s="1744" t="s">
        <v>1902</v>
      </c>
      <c r="F251" s="1744" t="s">
        <v>2518</v>
      </c>
      <c r="G251" s="1745">
        <v>200</v>
      </c>
      <c r="H251" s="1745">
        <v>199</v>
      </c>
      <c r="I251" s="1746"/>
      <c r="J251" s="1746"/>
      <c r="K251" s="1745">
        <v>2157</v>
      </c>
      <c r="L251" s="1745" t="s">
        <v>2420</v>
      </c>
      <c r="M251" s="1730" t="s">
        <v>2420</v>
      </c>
    </row>
    <row r="252" spans="2:13" ht="14.4">
      <c r="B252" s="1744" t="s">
        <v>1809</v>
      </c>
      <c r="C252" s="1744" t="s">
        <v>1810</v>
      </c>
      <c r="D252" s="1744" t="s">
        <v>1543</v>
      </c>
      <c r="E252" s="1744" t="s">
        <v>1898</v>
      </c>
      <c r="F252" s="1744" t="s">
        <v>2093</v>
      </c>
      <c r="G252" s="1745">
        <v>106</v>
      </c>
      <c r="H252" s="1745">
        <v>106</v>
      </c>
      <c r="I252" s="1746">
        <v>106</v>
      </c>
      <c r="J252" s="1765">
        <v>0</v>
      </c>
      <c r="K252" s="1745">
        <v>1325</v>
      </c>
      <c r="L252" s="1745" t="s">
        <v>2420</v>
      </c>
      <c r="M252" s="1730" t="s">
        <v>2420</v>
      </c>
    </row>
    <row r="253" spans="2:13" ht="14.4">
      <c r="B253" s="1744" t="s">
        <v>1699</v>
      </c>
      <c r="C253" s="1744">
        <v>440</v>
      </c>
      <c r="D253" s="1744" t="s">
        <v>1563</v>
      </c>
      <c r="E253" s="1744" t="s">
        <v>1898</v>
      </c>
      <c r="F253" s="1744" t="s">
        <v>2094</v>
      </c>
      <c r="G253" s="1745">
        <v>59</v>
      </c>
      <c r="H253" s="1745">
        <v>59</v>
      </c>
      <c r="I253" s="1746"/>
      <c r="J253" s="1746"/>
      <c r="K253" s="1745">
        <v>290</v>
      </c>
      <c r="L253" s="1745" t="s">
        <v>2420</v>
      </c>
      <c r="M253" s="1730" t="s">
        <v>2420</v>
      </c>
    </row>
    <row r="254" spans="2:13" ht="28.8">
      <c r="B254" s="1744" t="s">
        <v>1667</v>
      </c>
      <c r="C254" s="1744">
        <v>250</v>
      </c>
      <c r="D254" s="1744" t="s">
        <v>1555</v>
      </c>
      <c r="E254" s="1744" t="s">
        <v>1898</v>
      </c>
      <c r="F254" s="1744" t="s">
        <v>2152</v>
      </c>
      <c r="G254" s="1745">
        <v>63</v>
      </c>
      <c r="H254" s="1745">
        <v>62</v>
      </c>
      <c r="I254" s="1746"/>
      <c r="J254" s="1746"/>
      <c r="K254" s="1745">
        <v>189</v>
      </c>
      <c r="L254" s="1745" t="s">
        <v>2420</v>
      </c>
      <c r="M254" s="1730" t="s">
        <v>2420</v>
      </c>
    </row>
    <row r="255" spans="2:13" ht="14.4">
      <c r="B255" s="1744" t="s">
        <v>1752</v>
      </c>
      <c r="C255" s="1744">
        <v>1652</v>
      </c>
      <c r="D255" s="1744" t="s">
        <v>1529</v>
      </c>
      <c r="E255" s="1744" t="s">
        <v>1898</v>
      </c>
      <c r="F255" s="1744" t="s">
        <v>2095</v>
      </c>
      <c r="G255" s="1745">
        <v>7</v>
      </c>
      <c r="H255" s="1745">
        <v>7</v>
      </c>
      <c r="I255" s="1746"/>
      <c r="J255" s="1746"/>
      <c r="K255" s="1745">
        <v>1049</v>
      </c>
      <c r="L255" s="1745" t="s">
        <v>2420</v>
      </c>
      <c r="M255" s="1730" t="s">
        <v>2420</v>
      </c>
    </row>
    <row r="256" spans="2:13" ht="28.8">
      <c r="B256" s="1744" t="s">
        <v>2643</v>
      </c>
      <c r="C256" s="1744">
        <v>1101</v>
      </c>
      <c r="D256" s="1744" t="s">
        <v>2644</v>
      </c>
      <c r="E256" s="1744"/>
      <c r="F256" s="1744" t="s">
        <v>2645</v>
      </c>
      <c r="G256" s="1745">
        <v>0</v>
      </c>
      <c r="H256" s="1745">
        <v>71</v>
      </c>
      <c r="I256" s="1745"/>
      <c r="J256" s="1747"/>
      <c r="K256" s="1745">
        <v>2144</v>
      </c>
      <c r="L256" s="1745" t="s">
        <v>2420</v>
      </c>
      <c r="M256" s="1730" t="s">
        <v>2420</v>
      </c>
    </row>
    <row r="257" spans="2:13" ht="14.4">
      <c r="B257" s="1744" t="s">
        <v>1621</v>
      </c>
      <c r="C257" s="1744">
        <v>416</v>
      </c>
      <c r="D257" s="1744" t="s">
        <v>1622</v>
      </c>
      <c r="E257" s="1744" t="s">
        <v>1902</v>
      </c>
      <c r="F257" s="1744" t="s">
        <v>2096</v>
      </c>
      <c r="G257" s="1745">
        <v>5</v>
      </c>
      <c r="H257" s="1745">
        <v>5</v>
      </c>
      <c r="I257" s="1746"/>
      <c r="J257" s="1765"/>
      <c r="K257" s="1745">
        <v>1085</v>
      </c>
      <c r="L257" s="1745" t="s">
        <v>2420</v>
      </c>
      <c r="M257" s="1730" t="s">
        <v>2420</v>
      </c>
    </row>
    <row r="258" spans="2:13" ht="28.8">
      <c r="B258" s="1744" t="s">
        <v>1730</v>
      </c>
      <c r="C258" s="1744">
        <v>301</v>
      </c>
      <c r="D258" s="1744" t="s">
        <v>1545</v>
      </c>
      <c r="E258" s="1744" t="s">
        <v>1898</v>
      </c>
      <c r="F258" s="1744" t="s">
        <v>2097</v>
      </c>
      <c r="G258" s="1745">
        <v>93</v>
      </c>
      <c r="H258" s="1745">
        <v>92</v>
      </c>
      <c r="I258" s="1746"/>
      <c r="J258" s="1746"/>
      <c r="K258" s="1745">
        <v>966</v>
      </c>
      <c r="L258" s="1745" t="s">
        <v>2420</v>
      </c>
      <c r="M258" s="1730" t="s">
        <v>2420</v>
      </c>
    </row>
    <row r="259" spans="2:13" ht="14.4">
      <c r="B259" s="1744" t="s">
        <v>1312</v>
      </c>
      <c r="C259" s="1744">
        <v>1272</v>
      </c>
      <c r="D259" s="1744" t="s">
        <v>2544</v>
      </c>
      <c r="E259" s="1744" t="s">
        <v>1902</v>
      </c>
      <c r="F259" s="1744" t="s">
        <v>2098</v>
      </c>
      <c r="G259" s="1745">
        <v>12</v>
      </c>
      <c r="H259" s="1745">
        <v>11</v>
      </c>
      <c r="I259" s="1745"/>
      <c r="J259" s="1747"/>
      <c r="K259" s="1745">
        <v>1138</v>
      </c>
      <c r="L259" s="1745" t="s">
        <v>2420</v>
      </c>
      <c r="M259" s="1730" t="s">
        <v>2420</v>
      </c>
    </row>
    <row r="260" spans="2:13" ht="28.8">
      <c r="B260" s="1744" t="s">
        <v>1782</v>
      </c>
      <c r="C260" s="1744">
        <v>4601</v>
      </c>
      <c r="D260" s="1744" t="s">
        <v>1719</v>
      </c>
      <c r="E260" s="1744" t="s">
        <v>1898</v>
      </c>
      <c r="F260" s="1744" t="s">
        <v>2099</v>
      </c>
      <c r="G260" s="1745">
        <v>50</v>
      </c>
      <c r="H260" s="1745">
        <v>50</v>
      </c>
      <c r="I260" s="1746"/>
      <c r="J260" s="1765"/>
      <c r="K260" s="1745">
        <v>1196</v>
      </c>
      <c r="L260" s="1745" t="s">
        <v>2420</v>
      </c>
      <c r="M260" s="1730" t="s">
        <v>2420</v>
      </c>
    </row>
    <row r="261" spans="2:13" ht="28.8">
      <c r="B261" s="1744" t="s">
        <v>2450</v>
      </c>
      <c r="C261" s="1744">
        <v>25</v>
      </c>
      <c r="D261" s="1744" t="s">
        <v>1852</v>
      </c>
      <c r="E261" s="1744" t="s">
        <v>1898</v>
      </c>
      <c r="F261" s="1744" t="s">
        <v>2100</v>
      </c>
      <c r="G261" s="1745">
        <v>120</v>
      </c>
      <c r="H261" s="1745">
        <v>120</v>
      </c>
      <c r="I261" s="1746">
        <v>120</v>
      </c>
      <c r="J261" s="1765">
        <v>10986</v>
      </c>
      <c r="K261" s="1745">
        <v>1845</v>
      </c>
      <c r="L261" s="1745" t="s">
        <v>2420</v>
      </c>
      <c r="M261" s="1730" t="s">
        <v>2420</v>
      </c>
    </row>
    <row r="262" spans="2:13" ht="14.4">
      <c r="B262" s="1744" t="s">
        <v>1625</v>
      </c>
      <c r="C262" s="1744">
        <v>150</v>
      </c>
      <c r="D262" s="1744" t="s">
        <v>1626</v>
      </c>
      <c r="E262" s="1744" t="s">
        <v>1898</v>
      </c>
      <c r="F262" s="1744" t="s">
        <v>2101</v>
      </c>
      <c r="G262" s="1745">
        <v>100</v>
      </c>
      <c r="H262" s="1745">
        <v>100</v>
      </c>
      <c r="I262" s="1746"/>
      <c r="J262" s="1746"/>
      <c r="K262" s="1745">
        <v>1093</v>
      </c>
      <c r="L262" s="1745" t="s">
        <v>2420</v>
      </c>
      <c r="M262" s="1730" t="s">
        <v>2420</v>
      </c>
    </row>
    <row r="263" spans="2:13" ht="28.8">
      <c r="B263" s="1744" t="s">
        <v>1313</v>
      </c>
      <c r="C263" s="1744">
        <v>220</v>
      </c>
      <c r="D263" s="1744" t="s">
        <v>1538</v>
      </c>
      <c r="E263" s="1744" t="s">
        <v>1898</v>
      </c>
      <c r="F263" s="1744" t="s">
        <v>2102</v>
      </c>
      <c r="G263" s="1745">
        <v>10</v>
      </c>
      <c r="H263" s="1745">
        <v>9</v>
      </c>
      <c r="I263" s="1746"/>
      <c r="J263" s="1746"/>
      <c r="K263" s="1745">
        <v>167</v>
      </c>
      <c r="L263" s="1745" t="s">
        <v>2420</v>
      </c>
      <c r="M263" s="1730" t="s">
        <v>2420</v>
      </c>
    </row>
    <row r="264" spans="2:13" ht="28.8">
      <c r="B264" s="1744" t="s">
        <v>1844</v>
      </c>
      <c r="C264" s="1744">
        <v>365</v>
      </c>
      <c r="D264" s="1744" t="s">
        <v>1845</v>
      </c>
      <c r="E264" s="1744" t="s">
        <v>1898</v>
      </c>
      <c r="F264" s="1744" t="s">
        <v>2103</v>
      </c>
      <c r="G264" s="1745">
        <v>120</v>
      </c>
      <c r="H264" s="1745">
        <v>120</v>
      </c>
      <c r="I264" s="1746">
        <v>120</v>
      </c>
      <c r="J264" s="1765">
        <v>155832</v>
      </c>
      <c r="K264" s="1745">
        <v>1632</v>
      </c>
      <c r="L264" s="1745" t="s">
        <v>2420</v>
      </c>
      <c r="M264" s="1730" t="s">
        <v>2420</v>
      </c>
    </row>
    <row r="265" spans="2:13" ht="14.4">
      <c r="B265" s="1744" t="s">
        <v>1657</v>
      </c>
      <c r="C265" s="1744">
        <v>216</v>
      </c>
      <c r="D265" s="1744" t="s">
        <v>1529</v>
      </c>
      <c r="E265" s="1744" t="s">
        <v>1898</v>
      </c>
      <c r="F265" s="1744" t="s">
        <v>2104</v>
      </c>
      <c r="G265" s="1745">
        <v>89</v>
      </c>
      <c r="H265" s="1745">
        <v>88</v>
      </c>
      <c r="I265" s="1746"/>
      <c r="J265" s="1746"/>
      <c r="K265" s="1745">
        <v>161</v>
      </c>
      <c r="L265" s="1745" t="s">
        <v>2420</v>
      </c>
      <c r="M265" s="1730" t="s">
        <v>2420</v>
      </c>
    </row>
    <row r="266" spans="2:13" ht="14.4">
      <c r="B266" s="1744" t="s">
        <v>1862</v>
      </c>
      <c r="C266" s="1744">
        <v>1150</v>
      </c>
      <c r="D266" s="1744" t="s">
        <v>1540</v>
      </c>
      <c r="E266" s="1744" t="s">
        <v>1898</v>
      </c>
      <c r="F266" s="1744" t="s">
        <v>2601</v>
      </c>
      <c r="G266" s="1745">
        <v>201</v>
      </c>
      <c r="H266" s="1745">
        <v>199</v>
      </c>
      <c r="I266" s="1746"/>
      <c r="J266" s="1746"/>
      <c r="K266" s="1745">
        <v>2039</v>
      </c>
      <c r="L266" s="1745" t="s">
        <v>2420</v>
      </c>
      <c r="M266" s="1730" t="s">
        <v>2420</v>
      </c>
    </row>
    <row r="267" spans="2:13" ht="28.8">
      <c r="B267" s="1744" t="s">
        <v>2519</v>
      </c>
      <c r="C267" s="1744">
        <v>1251</v>
      </c>
      <c r="D267" s="1744" t="s">
        <v>1521</v>
      </c>
      <c r="E267" s="1744" t="s">
        <v>1898</v>
      </c>
      <c r="F267" s="1744" t="s">
        <v>2520</v>
      </c>
      <c r="G267" s="1745">
        <v>203</v>
      </c>
      <c r="H267" s="1745">
        <v>202</v>
      </c>
      <c r="I267" s="1746"/>
      <c r="J267" s="1746"/>
      <c r="K267" s="1745">
        <v>2169</v>
      </c>
      <c r="L267" s="1745" t="s">
        <v>2420</v>
      </c>
      <c r="M267" s="1730" t="s">
        <v>2420</v>
      </c>
    </row>
    <row r="268" spans="2:13" ht="14.4">
      <c r="B268" s="1744" t="s">
        <v>1314</v>
      </c>
      <c r="C268" s="1744">
        <v>2501</v>
      </c>
      <c r="D268" s="1744" t="s">
        <v>1535</v>
      </c>
      <c r="E268" s="1744" t="s">
        <v>1898</v>
      </c>
      <c r="F268" s="1744" t="s">
        <v>2105</v>
      </c>
      <c r="G268" s="1745">
        <v>19</v>
      </c>
      <c r="H268" s="1745">
        <v>13</v>
      </c>
      <c r="I268" s="1746"/>
      <c r="J268" s="1746"/>
      <c r="K268" s="1745">
        <v>1411</v>
      </c>
      <c r="L268" s="1745" t="s">
        <v>2420</v>
      </c>
      <c r="M268" s="1730" t="s">
        <v>2420</v>
      </c>
    </row>
    <row r="269" spans="2:13" ht="14.4">
      <c r="B269" s="1744" t="s">
        <v>1664</v>
      </c>
      <c r="C269" s="1744">
        <v>0</v>
      </c>
      <c r="D269" s="1744" t="s">
        <v>1530</v>
      </c>
      <c r="E269" s="1744" t="s">
        <v>2420</v>
      </c>
      <c r="F269" s="1744" t="s">
        <v>2442</v>
      </c>
      <c r="G269" s="1745">
        <v>0</v>
      </c>
      <c r="H269" s="1745">
        <v>0</v>
      </c>
      <c r="I269" s="1746"/>
      <c r="J269" s="1746"/>
      <c r="K269" s="1745">
        <v>179</v>
      </c>
      <c r="L269" s="1745" t="s">
        <v>2420</v>
      </c>
      <c r="M269" s="1730" t="s">
        <v>2420</v>
      </c>
    </row>
    <row r="270" spans="2:13" ht="14.4">
      <c r="B270" s="1744" t="s">
        <v>1315</v>
      </c>
      <c r="C270" s="1744">
        <v>1000</v>
      </c>
      <c r="D270" s="1744" t="s">
        <v>1544</v>
      </c>
      <c r="E270" s="1744" t="s">
        <v>1898</v>
      </c>
      <c r="F270" s="1744" t="s">
        <v>2106</v>
      </c>
      <c r="G270" s="1745">
        <v>58</v>
      </c>
      <c r="H270" s="1745">
        <v>58</v>
      </c>
      <c r="I270" s="1746"/>
      <c r="J270" s="1746"/>
      <c r="K270" s="1745">
        <v>6</v>
      </c>
      <c r="L270" s="1745" t="s">
        <v>2420</v>
      </c>
      <c r="M270" s="1730" t="s">
        <v>2420</v>
      </c>
    </row>
    <row r="271" spans="2:13" ht="14.4">
      <c r="B271" s="1744" t="s">
        <v>1333</v>
      </c>
      <c r="C271" s="1744">
        <v>519</v>
      </c>
      <c r="D271" s="1744" t="s">
        <v>1545</v>
      </c>
      <c r="E271" s="1744" t="s">
        <v>1898</v>
      </c>
      <c r="F271" s="1744" t="s">
        <v>2107</v>
      </c>
      <c r="G271" s="1745">
        <v>89</v>
      </c>
      <c r="H271" s="1745">
        <v>86</v>
      </c>
      <c r="I271" s="1746"/>
      <c r="J271" s="1746"/>
      <c r="K271" s="1745">
        <v>306</v>
      </c>
      <c r="L271" s="1745" t="s">
        <v>2420</v>
      </c>
      <c r="M271" s="1730" t="s">
        <v>2420</v>
      </c>
    </row>
    <row r="272" spans="2:13" ht="14.4">
      <c r="B272" s="1744" t="s">
        <v>1691</v>
      </c>
      <c r="C272" s="1744">
        <v>421</v>
      </c>
      <c r="D272" s="1744" t="s">
        <v>1687</v>
      </c>
      <c r="E272" s="1744" t="s">
        <v>1898</v>
      </c>
      <c r="F272" s="1744" t="s">
        <v>2108</v>
      </c>
      <c r="G272" s="1745">
        <v>47</v>
      </c>
      <c r="H272" s="1745">
        <v>46</v>
      </c>
      <c r="I272" s="1746"/>
      <c r="J272" s="1746"/>
      <c r="K272" s="1745">
        <v>269</v>
      </c>
      <c r="L272" s="1745" t="s">
        <v>2420</v>
      </c>
      <c r="M272" s="1730" t="s">
        <v>2420</v>
      </c>
    </row>
    <row r="273" spans="2:13" ht="43.2">
      <c r="B273" s="1744" t="s">
        <v>2646</v>
      </c>
      <c r="C273" s="1744" t="s">
        <v>2647</v>
      </c>
      <c r="D273" s="1744" t="s">
        <v>2647</v>
      </c>
      <c r="E273" s="1744"/>
      <c r="F273" s="1744" t="s">
        <v>2648</v>
      </c>
      <c r="G273" s="1745">
        <v>16</v>
      </c>
      <c r="H273" s="1745">
        <v>16</v>
      </c>
      <c r="I273" s="1746"/>
      <c r="J273" s="1746"/>
      <c r="K273" s="1745">
        <v>2332</v>
      </c>
      <c r="L273" s="1745" t="s">
        <v>2420</v>
      </c>
      <c r="M273" s="1730" t="s">
        <v>2420</v>
      </c>
    </row>
    <row r="274" spans="2:13" ht="28.8">
      <c r="B274" s="1744" t="s">
        <v>2602</v>
      </c>
      <c r="C274" s="1744">
        <v>1166</v>
      </c>
      <c r="D274" s="1744" t="s">
        <v>1543</v>
      </c>
      <c r="E274" s="1744" t="s">
        <v>1898</v>
      </c>
      <c r="F274" s="1744" t="s">
        <v>2109</v>
      </c>
      <c r="G274" s="1745">
        <v>74</v>
      </c>
      <c r="H274" s="1745">
        <v>74</v>
      </c>
      <c r="I274" s="1746"/>
      <c r="J274" s="1746"/>
      <c r="K274" s="1745">
        <v>1208</v>
      </c>
      <c r="L274" s="1745" t="s">
        <v>2420</v>
      </c>
      <c r="M274" s="1730" t="s">
        <v>2420</v>
      </c>
    </row>
    <row r="275" spans="2:13" ht="14.4">
      <c r="B275" s="1744" t="s">
        <v>1771</v>
      </c>
      <c r="C275" s="1744">
        <v>1188</v>
      </c>
      <c r="D275" s="1744" t="s">
        <v>1543</v>
      </c>
      <c r="E275" s="1744" t="s">
        <v>1898</v>
      </c>
      <c r="F275" s="1744" t="s">
        <v>2110</v>
      </c>
      <c r="G275" s="1745">
        <v>88</v>
      </c>
      <c r="H275" s="1745">
        <v>88</v>
      </c>
      <c r="I275" s="1746"/>
      <c r="J275" s="1746"/>
      <c r="K275" s="1745">
        <v>1167</v>
      </c>
      <c r="L275" s="1745" t="s">
        <v>2420</v>
      </c>
      <c r="M275" s="1730" t="s">
        <v>2420</v>
      </c>
    </row>
    <row r="276" spans="2:13" ht="14.4">
      <c r="B276" s="1744" t="s">
        <v>1708</v>
      </c>
      <c r="C276" s="1744">
        <v>585</v>
      </c>
      <c r="D276" s="1744" t="s">
        <v>1531</v>
      </c>
      <c r="E276" s="1744" t="s">
        <v>1898</v>
      </c>
      <c r="F276" s="1744" t="s">
        <v>2111</v>
      </c>
      <c r="G276" s="1745">
        <v>41</v>
      </c>
      <c r="H276" s="1745">
        <v>39</v>
      </c>
      <c r="I276" s="1746"/>
      <c r="J276" s="1746"/>
      <c r="K276" s="1745">
        <v>325</v>
      </c>
      <c r="L276" s="1745" t="s">
        <v>2420</v>
      </c>
      <c r="M276" s="1730" t="s">
        <v>2420</v>
      </c>
    </row>
    <row r="277" spans="2:13" ht="28.8">
      <c r="B277" s="1744" t="s">
        <v>1316</v>
      </c>
      <c r="C277" s="1744">
        <v>899</v>
      </c>
      <c r="D277" s="1744" t="s">
        <v>1520</v>
      </c>
      <c r="E277" s="1744" t="s">
        <v>1898</v>
      </c>
      <c r="F277" s="1744" t="s">
        <v>2112</v>
      </c>
      <c r="G277" s="1745">
        <v>10</v>
      </c>
      <c r="H277" s="1745">
        <v>0</v>
      </c>
      <c r="I277" s="1746"/>
      <c r="J277" s="1746"/>
      <c r="K277" s="1745">
        <v>1204</v>
      </c>
      <c r="L277" s="1745" t="s">
        <v>2420</v>
      </c>
      <c r="M277" s="1730" t="s">
        <v>2420</v>
      </c>
    </row>
    <row r="278" spans="2:13" ht="14.4">
      <c r="B278" s="1744" t="s">
        <v>1332</v>
      </c>
      <c r="C278" s="1744">
        <v>275</v>
      </c>
      <c r="D278" s="1744" t="s">
        <v>1534</v>
      </c>
      <c r="E278" s="1744" t="s">
        <v>1898</v>
      </c>
      <c r="F278" s="1744" t="s">
        <v>2113</v>
      </c>
      <c r="G278" s="1745">
        <v>10</v>
      </c>
      <c r="H278" s="1745">
        <v>0</v>
      </c>
      <c r="I278" s="1746"/>
      <c r="J278" s="1746"/>
      <c r="K278" s="1745">
        <v>200</v>
      </c>
      <c r="L278" s="1745" t="s">
        <v>2420</v>
      </c>
      <c r="M278" s="1730" t="s">
        <v>2420</v>
      </c>
    </row>
    <row r="279" spans="2:13" ht="14.4">
      <c r="B279" s="1744" t="s">
        <v>1830</v>
      </c>
      <c r="C279" s="1744">
        <v>420</v>
      </c>
      <c r="D279" s="1744" t="s">
        <v>1831</v>
      </c>
      <c r="E279" s="1744" t="s">
        <v>1902</v>
      </c>
      <c r="F279" s="1744" t="s">
        <v>2114</v>
      </c>
      <c r="G279" s="1745">
        <v>20</v>
      </c>
      <c r="H279" s="1745">
        <v>19</v>
      </c>
      <c r="I279" s="1745"/>
      <c r="J279" s="1747"/>
      <c r="K279" s="1745">
        <v>1585</v>
      </c>
      <c r="L279" s="1745" t="s">
        <v>2420</v>
      </c>
      <c r="M279" s="1730" t="s">
        <v>2420</v>
      </c>
    </row>
    <row r="280" spans="2:13" ht="14.4">
      <c r="B280" s="1744" t="s">
        <v>1705</v>
      </c>
      <c r="C280" s="1744">
        <v>534</v>
      </c>
      <c r="D280" s="1744" t="s">
        <v>1624</v>
      </c>
      <c r="E280" s="1744" t="s">
        <v>2420</v>
      </c>
      <c r="F280" s="1744" t="s">
        <v>2451</v>
      </c>
      <c r="G280" s="1745">
        <v>66</v>
      </c>
      <c r="H280" s="1745">
        <v>34</v>
      </c>
      <c r="I280" s="1746"/>
      <c r="J280" s="1765"/>
      <c r="K280" s="1745">
        <v>314</v>
      </c>
      <c r="L280" s="1745" t="s">
        <v>2420</v>
      </c>
      <c r="M280" s="1730" t="s">
        <v>2420</v>
      </c>
    </row>
    <row r="281" spans="2:13" ht="28.8">
      <c r="B281" s="1744" t="s">
        <v>1331</v>
      </c>
      <c r="C281" s="1744" t="s">
        <v>1569</v>
      </c>
      <c r="D281" s="1744" t="s">
        <v>1570</v>
      </c>
      <c r="E281" s="1744" t="s">
        <v>1902</v>
      </c>
      <c r="F281" s="1744" t="s">
        <v>2115</v>
      </c>
      <c r="G281" s="1745">
        <v>22</v>
      </c>
      <c r="H281" s="1745">
        <v>15</v>
      </c>
      <c r="I281" s="1746"/>
      <c r="J281" s="1746"/>
      <c r="K281" s="1745">
        <v>197</v>
      </c>
      <c r="L281" s="1745" t="s">
        <v>2420</v>
      </c>
      <c r="M281" s="1730" t="s">
        <v>2420</v>
      </c>
    </row>
    <row r="282" spans="2:13" ht="28.8">
      <c r="B282" s="1744" t="s">
        <v>1654</v>
      </c>
      <c r="C282" s="1744">
        <v>201</v>
      </c>
      <c r="D282" s="1744" t="s">
        <v>1521</v>
      </c>
      <c r="E282" s="1744" t="s">
        <v>1898</v>
      </c>
      <c r="F282" s="1744" t="s">
        <v>2116</v>
      </c>
      <c r="G282" s="1745">
        <v>175</v>
      </c>
      <c r="H282" s="1745">
        <v>174</v>
      </c>
      <c r="I282" s="1746"/>
      <c r="J282" s="1746"/>
      <c r="K282" s="1745">
        <v>152</v>
      </c>
      <c r="L282" s="1745" t="s">
        <v>2420</v>
      </c>
      <c r="M282" s="1730" t="s">
        <v>2420</v>
      </c>
    </row>
    <row r="283" spans="2:13" ht="28.8">
      <c r="B283" s="1744" t="s">
        <v>1330</v>
      </c>
      <c r="C283" s="1744">
        <v>712</v>
      </c>
      <c r="D283" s="1744" t="s">
        <v>1536</v>
      </c>
      <c r="E283" s="1744" t="s">
        <v>1898</v>
      </c>
      <c r="F283" s="1744" t="s">
        <v>2117</v>
      </c>
      <c r="G283" s="1745">
        <v>6</v>
      </c>
      <c r="H283" s="1745">
        <v>6</v>
      </c>
      <c r="I283" s="1746"/>
      <c r="J283" s="1746"/>
      <c r="K283" s="1745">
        <v>362</v>
      </c>
      <c r="L283" s="1745" t="s">
        <v>2420</v>
      </c>
      <c r="M283" s="1730" t="s">
        <v>2420</v>
      </c>
    </row>
    <row r="284" spans="2:13" ht="14.4">
      <c r="B284" s="1744" t="s">
        <v>1724</v>
      </c>
      <c r="C284" s="1744">
        <v>416</v>
      </c>
      <c r="D284" s="1744" t="s">
        <v>1725</v>
      </c>
      <c r="E284" s="1744" t="s">
        <v>1898</v>
      </c>
      <c r="F284" s="1744" t="s">
        <v>2118</v>
      </c>
      <c r="G284" s="1745">
        <v>8</v>
      </c>
      <c r="H284" s="1745">
        <v>8</v>
      </c>
      <c r="I284" s="1746"/>
      <c r="J284" s="1746"/>
      <c r="K284" s="1745">
        <v>880</v>
      </c>
      <c r="L284" s="1745" t="s">
        <v>2420</v>
      </c>
      <c r="M284" s="1730" t="s">
        <v>2420</v>
      </c>
    </row>
    <row r="285" spans="2:13" ht="14.4">
      <c r="B285" s="1744" t="s">
        <v>1804</v>
      </c>
      <c r="C285" s="1744">
        <v>3595</v>
      </c>
      <c r="D285" s="1744" t="s">
        <v>1531</v>
      </c>
      <c r="E285" s="1744" t="s">
        <v>2074</v>
      </c>
      <c r="F285" s="1744" t="s">
        <v>2119</v>
      </c>
      <c r="G285" s="1745">
        <v>150</v>
      </c>
      <c r="H285" s="1745">
        <v>148</v>
      </c>
      <c r="I285" s="1746">
        <v>25</v>
      </c>
      <c r="J285" s="1765">
        <v>94054</v>
      </c>
      <c r="K285" s="1745">
        <v>1317</v>
      </c>
      <c r="L285" s="1745" t="s">
        <v>2420</v>
      </c>
      <c r="M285" s="1730" t="s">
        <v>2420</v>
      </c>
    </row>
    <row r="286" spans="2:13" ht="28.8">
      <c r="B286" s="1744" t="s">
        <v>1790</v>
      </c>
      <c r="C286" s="1744" t="s">
        <v>1791</v>
      </c>
      <c r="D286" s="1744" t="s">
        <v>1743</v>
      </c>
      <c r="E286" s="1744" t="s">
        <v>1898</v>
      </c>
      <c r="F286" s="1744" t="s">
        <v>2120</v>
      </c>
      <c r="G286" s="1745">
        <v>75</v>
      </c>
      <c r="H286" s="1745">
        <v>74</v>
      </c>
      <c r="I286" s="1746"/>
      <c r="J286" s="1746"/>
      <c r="K286" s="1745">
        <v>1245</v>
      </c>
      <c r="L286" s="1745" t="s">
        <v>2420</v>
      </c>
      <c r="M286" s="1730" t="s">
        <v>2420</v>
      </c>
    </row>
    <row r="287" spans="2:13" ht="14.4">
      <c r="B287" s="1744" t="s">
        <v>1680</v>
      </c>
      <c r="C287" s="1744">
        <v>340</v>
      </c>
      <c r="D287" s="1744" t="s">
        <v>1529</v>
      </c>
      <c r="E287" s="1744" t="s">
        <v>1898</v>
      </c>
      <c r="F287" s="1744" t="s">
        <v>2121</v>
      </c>
      <c r="G287" s="1745">
        <v>82</v>
      </c>
      <c r="H287" s="1745">
        <v>66</v>
      </c>
      <c r="I287" s="1745"/>
      <c r="J287" s="1747"/>
      <c r="K287" s="1745">
        <v>237</v>
      </c>
      <c r="L287" s="1745" t="s">
        <v>2420</v>
      </c>
      <c r="M287" s="1730" t="s">
        <v>2420</v>
      </c>
    </row>
    <row r="288" spans="2:13" ht="57.6">
      <c r="B288" s="1744" t="s">
        <v>2603</v>
      </c>
      <c r="C288" s="1744">
        <v>55</v>
      </c>
      <c r="D288" s="1744" t="s">
        <v>2521</v>
      </c>
      <c r="E288" s="1744" t="s">
        <v>1898</v>
      </c>
      <c r="F288" s="1744" t="s">
        <v>2604</v>
      </c>
      <c r="G288" s="1745">
        <v>40</v>
      </c>
      <c r="H288" s="1745">
        <v>39</v>
      </c>
      <c r="I288" s="1746"/>
      <c r="J288" s="1765"/>
      <c r="K288" s="1745">
        <v>1643</v>
      </c>
      <c r="L288" s="1745" t="s">
        <v>2420</v>
      </c>
      <c r="M288" s="1730" t="s">
        <v>2420</v>
      </c>
    </row>
    <row r="289" spans="2:13" ht="14.4">
      <c r="B289" s="1744" t="s">
        <v>1742</v>
      </c>
      <c r="C289" s="1744">
        <v>125</v>
      </c>
      <c r="D289" s="1744" t="s">
        <v>1743</v>
      </c>
      <c r="E289" s="1744" t="s">
        <v>1898</v>
      </c>
      <c r="F289" s="1744" t="s">
        <v>2122</v>
      </c>
      <c r="G289" s="1745">
        <v>76</v>
      </c>
      <c r="H289" s="1745">
        <v>75</v>
      </c>
      <c r="I289" s="1746"/>
      <c r="J289" s="1746"/>
      <c r="K289" s="1745">
        <v>1021</v>
      </c>
      <c r="L289" s="1745" t="s">
        <v>2420</v>
      </c>
      <c r="M289" s="1730" t="s">
        <v>2420</v>
      </c>
    </row>
    <row r="290" spans="2:13" ht="14.4">
      <c r="B290" s="1744" t="s">
        <v>1329</v>
      </c>
      <c r="C290" s="1744">
        <v>1445</v>
      </c>
      <c r="D290" s="1744" t="s">
        <v>1558</v>
      </c>
      <c r="E290" s="1744" t="s">
        <v>2123</v>
      </c>
      <c r="F290" s="1744" t="s">
        <v>2124</v>
      </c>
      <c r="G290" s="1745">
        <v>6</v>
      </c>
      <c r="H290" s="1745">
        <v>0</v>
      </c>
      <c r="I290" s="1746"/>
      <c r="J290" s="1746"/>
      <c r="K290" s="1745">
        <v>1152</v>
      </c>
      <c r="L290" s="1745" t="s">
        <v>2420</v>
      </c>
      <c r="M290" s="1730" t="s">
        <v>2420</v>
      </c>
    </row>
    <row r="291" spans="2:13" ht="28.8">
      <c r="B291" s="1744" t="s">
        <v>2522</v>
      </c>
      <c r="C291" s="1744">
        <v>410</v>
      </c>
      <c r="D291" s="1744" t="s">
        <v>1548</v>
      </c>
      <c r="E291" s="1744"/>
      <c r="F291" s="1744" t="s">
        <v>2605</v>
      </c>
      <c r="G291" s="1745">
        <v>44</v>
      </c>
      <c r="H291" s="1745">
        <v>43</v>
      </c>
      <c r="I291" s="1746"/>
      <c r="J291" s="1746"/>
      <c r="K291" s="1745">
        <v>1229</v>
      </c>
      <c r="L291" s="1745" t="s">
        <v>2420</v>
      </c>
      <c r="M291" s="1730" t="s">
        <v>2420</v>
      </c>
    </row>
    <row r="292" spans="2:13" ht="57.6">
      <c r="B292" s="1744" t="s">
        <v>1328</v>
      </c>
      <c r="C292" s="1744">
        <v>1440</v>
      </c>
      <c r="D292" s="1744" t="s">
        <v>1558</v>
      </c>
      <c r="E292" s="1744" t="s">
        <v>2123</v>
      </c>
      <c r="F292" s="1744" t="s">
        <v>2126</v>
      </c>
      <c r="G292" s="1745">
        <v>6</v>
      </c>
      <c r="H292" s="1745">
        <v>0</v>
      </c>
      <c r="I292" s="1745"/>
      <c r="J292" s="1747"/>
      <c r="K292" s="1745">
        <v>1151</v>
      </c>
      <c r="L292" s="1745" t="s">
        <v>2420</v>
      </c>
      <c r="M292" s="1730" t="s">
        <v>2420</v>
      </c>
    </row>
    <row r="293" spans="2:13" ht="28.8">
      <c r="B293" s="1744" t="s">
        <v>1327</v>
      </c>
      <c r="C293" s="1744">
        <v>1411</v>
      </c>
      <c r="D293" s="1744" t="s">
        <v>1547</v>
      </c>
      <c r="E293" s="1744" t="s">
        <v>2123</v>
      </c>
      <c r="F293" s="1744" t="s">
        <v>2127</v>
      </c>
      <c r="G293" s="1745">
        <v>66</v>
      </c>
      <c r="H293" s="1745">
        <v>64</v>
      </c>
      <c r="I293" s="1746">
        <v>33</v>
      </c>
      <c r="J293" s="1765">
        <v>534032</v>
      </c>
      <c r="K293" s="1745">
        <v>1197</v>
      </c>
      <c r="L293" s="1745" t="s">
        <v>2420</v>
      </c>
      <c r="M293" s="1730" t="s">
        <v>2420</v>
      </c>
    </row>
    <row r="294" spans="2:13" ht="28.8">
      <c r="B294" s="1744" t="s">
        <v>1326</v>
      </c>
      <c r="C294" s="1744">
        <v>1403</v>
      </c>
      <c r="D294" s="1744" t="s">
        <v>1542</v>
      </c>
      <c r="E294" s="1744" t="s">
        <v>1898</v>
      </c>
      <c r="F294" s="1744" t="s">
        <v>2129</v>
      </c>
      <c r="G294" s="1745">
        <v>66</v>
      </c>
      <c r="H294" s="1745">
        <v>66</v>
      </c>
      <c r="I294" s="1746"/>
      <c r="J294" s="1746"/>
      <c r="K294" s="1745">
        <v>1150</v>
      </c>
      <c r="L294" s="1745" t="s">
        <v>2420</v>
      </c>
      <c r="M294" s="1730" t="s">
        <v>2420</v>
      </c>
    </row>
    <row r="295" spans="2:13" ht="14.4">
      <c r="B295" s="1744" t="s">
        <v>1640</v>
      </c>
      <c r="C295" s="1744">
        <v>1525</v>
      </c>
      <c r="D295" s="1744" t="s">
        <v>1641</v>
      </c>
      <c r="E295" s="1744" t="s">
        <v>1902</v>
      </c>
      <c r="F295" s="1744" t="s">
        <v>2130</v>
      </c>
      <c r="G295" s="1745">
        <v>33</v>
      </c>
      <c r="H295" s="1745">
        <v>17</v>
      </c>
      <c r="I295" s="1746"/>
      <c r="J295" s="1746"/>
      <c r="K295" s="1745">
        <v>94</v>
      </c>
      <c r="L295" s="1745" t="s">
        <v>2420</v>
      </c>
      <c r="M295" s="1730" t="s">
        <v>2420</v>
      </c>
    </row>
    <row r="296" spans="2:13" ht="43.2">
      <c r="B296" s="1744" t="s">
        <v>2649</v>
      </c>
      <c r="C296" s="1744">
        <v>222</v>
      </c>
      <c r="D296" s="1744" t="s">
        <v>1854</v>
      </c>
      <c r="E296" s="1744" t="s">
        <v>1917</v>
      </c>
      <c r="F296" s="1744" t="s">
        <v>2598</v>
      </c>
      <c r="G296" s="1745">
        <v>85</v>
      </c>
      <c r="H296" s="1745">
        <v>84</v>
      </c>
      <c r="I296" s="1746"/>
      <c r="J296" s="1746"/>
      <c r="K296" s="1745">
        <v>2086</v>
      </c>
      <c r="L296" s="1745" t="s">
        <v>2420</v>
      </c>
      <c r="M296" s="1730" t="s">
        <v>2420</v>
      </c>
    </row>
    <row r="297" spans="2:13" ht="28.8">
      <c r="B297" s="1744" t="s">
        <v>2650</v>
      </c>
      <c r="C297" s="1744">
        <v>250</v>
      </c>
      <c r="D297" s="1744" t="s">
        <v>2651</v>
      </c>
      <c r="E297" s="1744"/>
      <c r="F297" s="1744" t="s">
        <v>2652</v>
      </c>
      <c r="G297" s="1745">
        <v>80</v>
      </c>
      <c r="H297" s="1745">
        <v>80</v>
      </c>
      <c r="I297" s="1746"/>
      <c r="J297" s="1746"/>
      <c r="K297" s="1745">
        <v>2170</v>
      </c>
      <c r="L297" s="1745" t="s">
        <v>2420</v>
      </c>
      <c r="M297" s="1730" t="s">
        <v>2420</v>
      </c>
    </row>
    <row r="298" spans="2:13" ht="28.8">
      <c r="B298" s="1744" t="s">
        <v>1851</v>
      </c>
      <c r="C298" s="1744">
        <v>249</v>
      </c>
      <c r="D298" s="1744" t="s">
        <v>1529</v>
      </c>
      <c r="E298" s="1744" t="s">
        <v>1898</v>
      </c>
      <c r="F298" s="1744" t="s">
        <v>2131</v>
      </c>
      <c r="G298" s="1745">
        <v>82</v>
      </c>
      <c r="H298" s="1745">
        <v>80</v>
      </c>
      <c r="I298" s="1746"/>
      <c r="J298" s="1746"/>
      <c r="K298" s="1745">
        <v>1843</v>
      </c>
      <c r="L298" s="1745" t="s">
        <v>2420</v>
      </c>
      <c r="M298" s="1730" t="s">
        <v>2420</v>
      </c>
    </row>
    <row r="299" spans="2:13" ht="14.4">
      <c r="B299" s="1744" t="s">
        <v>1805</v>
      </c>
      <c r="C299" s="1744" t="s">
        <v>1806</v>
      </c>
      <c r="D299" s="1744" t="s">
        <v>1563</v>
      </c>
      <c r="E299" s="1744" t="s">
        <v>1898</v>
      </c>
      <c r="F299" s="1744" t="s">
        <v>2132</v>
      </c>
      <c r="G299" s="1745">
        <v>260</v>
      </c>
      <c r="H299" s="1745">
        <v>259</v>
      </c>
      <c r="I299" s="1746"/>
      <c r="J299" s="1746"/>
      <c r="K299" s="1745">
        <v>1322</v>
      </c>
      <c r="L299" s="1745" t="s">
        <v>2420</v>
      </c>
      <c r="M299" s="1730" t="s">
        <v>2420</v>
      </c>
    </row>
    <row r="300" spans="2:13" ht="28.8">
      <c r="B300" s="1744" t="s">
        <v>1838</v>
      </c>
      <c r="C300" s="1744">
        <v>129</v>
      </c>
      <c r="D300" s="1744" t="s">
        <v>2542</v>
      </c>
      <c r="E300" s="1744" t="s">
        <v>1902</v>
      </c>
      <c r="F300" s="1744" t="s">
        <v>2133</v>
      </c>
      <c r="G300" s="1745">
        <v>90</v>
      </c>
      <c r="H300" s="1745">
        <v>89</v>
      </c>
      <c r="I300" s="1746">
        <v>3</v>
      </c>
      <c r="J300" s="1765">
        <v>24656</v>
      </c>
      <c r="K300" s="1745">
        <v>1601</v>
      </c>
      <c r="L300" s="1745" t="s">
        <v>2420</v>
      </c>
      <c r="M300" s="1730" t="s">
        <v>2420</v>
      </c>
    </row>
    <row r="301" spans="2:13" ht="14.4">
      <c r="B301" s="1744" t="s">
        <v>1317</v>
      </c>
      <c r="C301" s="1744">
        <v>1030</v>
      </c>
      <c r="D301" s="1744" t="s">
        <v>1568</v>
      </c>
      <c r="E301" s="1744" t="s">
        <v>2032</v>
      </c>
      <c r="F301" s="1744" t="s">
        <v>2134</v>
      </c>
      <c r="G301" s="1745">
        <v>108</v>
      </c>
      <c r="H301" s="1745">
        <v>100</v>
      </c>
      <c r="I301" s="1746"/>
      <c r="J301" s="1746"/>
      <c r="K301" s="1745">
        <v>11</v>
      </c>
      <c r="L301" s="1745" t="s">
        <v>2420</v>
      </c>
      <c r="M301" s="1730" t="s">
        <v>2420</v>
      </c>
    </row>
    <row r="302" spans="2:13" ht="14.4">
      <c r="B302" s="1744" t="s">
        <v>1834</v>
      </c>
      <c r="C302" s="1744">
        <v>150</v>
      </c>
      <c r="D302" s="1744" t="s">
        <v>1835</v>
      </c>
      <c r="E302" s="1744" t="s">
        <v>1898</v>
      </c>
      <c r="F302" s="1744" t="s">
        <v>2135</v>
      </c>
      <c r="G302" s="1745">
        <v>76</v>
      </c>
      <c r="H302" s="1745">
        <v>75</v>
      </c>
      <c r="I302" s="1746"/>
      <c r="J302" s="1746"/>
      <c r="K302" s="1745">
        <v>1597</v>
      </c>
      <c r="L302" s="1745" t="s">
        <v>2420</v>
      </c>
      <c r="M302" s="1730" t="s">
        <v>2420</v>
      </c>
    </row>
    <row r="303" spans="2:13" ht="14.4">
      <c r="B303" s="1744" t="s">
        <v>1318</v>
      </c>
      <c r="C303" s="1744">
        <v>214</v>
      </c>
      <c r="D303" s="1744" t="s">
        <v>1557</v>
      </c>
      <c r="E303" s="1744" t="s">
        <v>1898</v>
      </c>
      <c r="F303" s="1744" t="s">
        <v>2136</v>
      </c>
      <c r="G303" s="1745">
        <v>64</v>
      </c>
      <c r="H303" s="1745">
        <v>0</v>
      </c>
      <c r="I303" s="1746"/>
      <c r="J303" s="1746"/>
      <c r="K303" s="1745">
        <v>159</v>
      </c>
      <c r="L303" s="1745" t="s">
        <v>2420</v>
      </c>
      <c r="M303" s="1730" t="s">
        <v>2420</v>
      </c>
    </row>
    <row r="304" spans="2:13" ht="14.4">
      <c r="B304" s="1744" t="s">
        <v>1325</v>
      </c>
      <c r="C304" s="1744" t="s">
        <v>1553</v>
      </c>
      <c r="D304" s="1744" t="s">
        <v>1554</v>
      </c>
      <c r="E304" s="1744" t="s">
        <v>1898</v>
      </c>
      <c r="F304" s="1744" t="s">
        <v>2137</v>
      </c>
      <c r="G304" s="1745">
        <v>22</v>
      </c>
      <c r="H304" s="1745">
        <v>22</v>
      </c>
      <c r="I304" s="1746"/>
      <c r="J304" s="1746"/>
      <c r="K304" s="1745">
        <v>1140</v>
      </c>
      <c r="L304" s="1745" t="s">
        <v>2420</v>
      </c>
      <c r="M304" s="1730" t="s">
        <v>2420</v>
      </c>
    </row>
    <row r="305" spans="2:13" ht="14.4">
      <c r="B305" s="1744" t="s">
        <v>1319</v>
      </c>
      <c r="C305" s="1744">
        <v>650</v>
      </c>
      <c r="D305" s="1744" t="s">
        <v>1564</v>
      </c>
      <c r="E305" s="1744" t="s">
        <v>1898</v>
      </c>
      <c r="F305" s="1744" t="s">
        <v>2138</v>
      </c>
      <c r="G305" s="1745">
        <v>2</v>
      </c>
      <c r="H305" s="1745">
        <v>2</v>
      </c>
      <c r="I305" s="1746"/>
      <c r="J305" s="1746"/>
      <c r="K305" s="1745">
        <v>342</v>
      </c>
      <c r="L305" s="1745" t="s">
        <v>2420</v>
      </c>
      <c r="M305" s="1730" t="s">
        <v>2420</v>
      </c>
    </row>
    <row r="306" spans="2:13" ht="14.4">
      <c r="B306" s="1744" t="s">
        <v>1744</v>
      </c>
      <c r="C306" s="1744">
        <v>141</v>
      </c>
      <c r="D306" s="1744" t="s">
        <v>1529</v>
      </c>
      <c r="E306" s="1744" t="s">
        <v>1898</v>
      </c>
      <c r="F306" s="1744" t="s">
        <v>2139</v>
      </c>
      <c r="G306" s="1745">
        <v>105</v>
      </c>
      <c r="H306" s="1745">
        <v>104</v>
      </c>
      <c r="I306" s="1746"/>
      <c r="J306" s="1746"/>
      <c r="K306" s="1745">
        <v>1027</v>
      </c>
      <c r="L306" s="1745" t="s">
        <v>2420</v>
      </c>
      <c r="M306" s="1730" t="s">
        <v>2420</v>
      </c>
    </row>
    <row r="307" spans="2:13" ht="28.8">
      <c r="B307" s="1744" t="s">
        <v>2523</v>
      </c>
      <c r="C307" s="1744">
        <v>40</v>
      </c>
      <c r="D307" s="1744" t="s">
        <v>2524</v>
      </c>
      <c r="E307" s="1744" t="s">
        <v>2032</v>
      </c>
      <c r="F307" s="1744" t="s">
        <v>2525</v>
      </c>
      <c r="G307" s="1745">
        <v>223</v>
      </c>
      <c r="H307" s="1745">
        <v>221</v>
      </c>
      <c r="I307" s="1746"/>
      <c r="J307" s="1746"/>
      <c r="K307" s="1745">
        <v>2130</v>
      </c>
      <c r="L307" s="1745" t="s">
        <v>2420</v>
      </c>
      <c r="M307" s="1730" t="s">
        <v>2420</v>
      </c>
    </row>
    <row r="308" spans="2:13" ht="14.4">
      <c r="B308" s="1744" t="s">
        <v>1811</v>
      </c>
      <c r="C308" s="1744" t="s">
        <v>1812</v>
      </c>
      <c r="D308" s="1744" t="s">
        <v>1813</v>
      </c>
      <c r="E308" s="1744" t="s">
        <v>1898</v>
      </c>
      <c r="F308" s="1744" t="s">
        <v>2140</v>
      </c>
      <c r="G308" s="1745">
        <v>49</v>
      </c>
      <c r="H308" s="1745">
        <v>48</v>
      </c>
      <c r="I308" s="1745"/>
      <c r="J308" s="1747"/>
      <c r="K308" s="1745">
        <v>1331</v>
      </c>
      <c r="L308" s="1745" t="s">
        <v>2420</v>
      </c>
      <c r="M308" s="1730" t="s">
        <v>2420</v>
      </c>
    </row>
    <row r="309" spans="2:13" ht="28.8">
      <c r="B309" s="1767" t="s">
        <v>2526</v>
      </c>
      <c r="C309" s="1767">
        <v>2501</v>
      </c>
      <c r="D309" s="1767" t="s">
        <v>1770</v>
      </c>
      <c r="E309" s="1767" t="s">
        <v>1898</v>
      </c>
      <c r="F309" s="1767" t="s">
        <v>2527</v>
      </c>
      <c r="G309" s="1730">
        <v>135</v>
      </c>
      <c r="H309" s="1730">
        <v>134</v>
      </c>
      <c r="J309" s="1766"/>
      <c r="K309" s="1730">
        <v>1594</v>
      </c>
      <c r="L309" s="1730" t="s">
        <v>2420</v>
      </c>
      <c r="M309" s="1730" t="s">
        <v>2420</v>
      </c>
    </row>
    <row r="310" spans="2:13" ht="14.4">
      <c r="B310" s="1767" t="s">
        <v>1642</v>
      </c>
      <c r="C310" s="1767">
        <v>160</v>
      </c>
      <c r="D310" s="1767" t="s">
        <v>1529</v>
      </c>
      <c r="E310" s="1767" t="s">
        <v>1898</v>
      </c>
      <c r="F310" s="1767" t="s">
        <v>2141</v>
      </c>
      <c r="G310" s="1730">
        <v>91</v>
      </c>
      <c r="H310" s="1730">
        <v>89</v>
      </c>
      <c r="K310" s="1730">
        <v>109</v>
      </c>
      <c r="L310" s="1730" t="s">
        <v>2420</v>
      </c>
      <c r="M310" s="1730" t="s">
        <v>2420</v>
      </c>
    </row>
    <row r="311" spans="2:13" ht="28.8">
      <c r="B311" s="1786" t="s">
        <v>2606</v>
      </c>
      <c r="C311" s="1786">
        <v>1239</v>
      </c>
      <c r="D311" s="1786" t="s">
        <v>1521</v>
      </c>
      <c r="E311" s="1786" t="s">
        <v>1898</v>
      </c>
      <c r="F311" s="1786" t="s">
        <v>2607</v>
      </c>
      <c r="G311" s="1787">
        <v>98</v>
      </c>
      <c r="H311" s="1787">
        <v>97</v>
      </c>
      <c r="K311" s="1787">
        <v>1584</v>
      </c>
      <c r="L311" s="1787" t="s">
        <v>2420</v>
      </c>
      <c r="M311" s="1787" t="s">
        <v>2420</v>
      </c>
    </row>
    <row r="312" spans="2:13" ht="14.4">
      <c r="B312" s="1786" t="s">
        <v>1320</v>
      </c>
      <c r="C312" s="1786">
        <v>2261</v>
      </c>
      <c r="D312" s="1786" t="s">
        <v>1532</v>
      </c>
      <c r="E312" s="1786" t="s">
        <v>1898</v>
      </c>
      <c r="F312" s="1786" t="s">
        <v>2142</v>
      </c>
      <c r="G312" s="1787">
        <v>16</v>
      </c>
      <c r="H312" s="1787">
        <v>10</v>
      </c>
      <c r="K312" s="1787">
        <v>171</v>
      </c>
      <c r="L312" s="1787" t="s">
        <v>2420</v>
      </c>
      <c r="M312" s="1787" t="s">
        <v>2420</v>
      </c>
    </row>
    <row r="313" spans="2:13" ht="14.4">
      <c r="B313" s="1786" t="s">
        <v>1665</v>
      </c>
      <c r="C313" s="1786">
        <v>240</v>
      </c>
      <c r="D313" s="1786" t="s">
        <v>1666</v>
      </c>
      <c r="E313" s="1786" t="s">
        <v>1898</v>
      </c>
      <c r="F313" s="1786" t="s">
        <v>2143</v>
      </c>
      <c r="G313" s="1787">
        <v>30</v>
      </c>
      <c r="H313" s="1787">
        <v>29</v>
      </c>
      <c r="K313" s="1787">
        <v>180</v>
      </c>
      <c r="L313" s="1787" t="s">
        <v>2420</v>
      </c>
      <c r="M313" s="1787" t="s">
        <v>2420</v>
      </c>
    </row>
    <row r="314" spans="2:13" ht="14.4">
      <c r="B314" s="1786" t="s">
        <v>1652</v>
      </c>
      <c r="C314" s="1786">
        <v>195</v>
      </c>
      <c r="D314" s="1786" t="s">
        <v>1653</v>
      </c>
      <c r="E314" s="1786" t="s">
        <v>1898</v>
      </c>
      <c r="F314" s="1786" t="s">
        <v>2144</v>
      </c>
      <c r="G314" s="1787">
        <v>10</v>
      </c>
      <c r="H314" s="1787">
        <v>9</v>
      </c>
      <c r="K314" s="1787">
        <v>148</v>
      </c>
      <c r="L314" s="1787" t="s">
        <v>2420</v>
      </c>
      <c r="M314" s="1787" t="s">
        <v>2420</v>
      </c>
    </row>
    <row r="315" spans="2:13" ht="14.4">
      <c r="B315" s="1786" t="s">
        <v>1697</v>
      </c>
      <c r="C315" s="1786">
        <v>480</v>
      </c>
      <c r="D315" s="1786" t="s">
        <v>1529</v>
      </c>
      <c r="E315" s="1786" t="s">
        <v>1898</v>
      </c>
      <c r="F315" s="1786" t="s">
        <v>2145</v>
      </c>
      <c r="G315" s="1787">
        <v>32</v>
      </c>
      <c r="H315" s="1787">
        <v>20</v>
      </c>
      <c r="K315" s="1787">
        <v>288</v>
      </c>
      <c r="L315" s="1787" t="s">
        <v>2420</v>
      </c>
      <c r="M315" s="1787" t="s">
        <v>2420</v>
      </c>
    </row>
    <row r="316" spans="2:13" ht="14.4">
      <c r="B316" s="1786" t="s">
        <v>1825</v>
      </c>
      <c r="C316" s="1786">
        <v>850</v>
      </c>
      <c r="D316" s="1786" t="s">
        <v>1826</v>
      </c>
      <c r="E316" s="1786" t="s">
        <v>1898</v>
      </c>
      <c r="F316" s="1786" t="s">
        <v>2146</v>
      </c>
      <c r="G316" s="1787">
        <v>47</v>
      </c>
      <c r="H316" s="1787">
        <v>46</v>
      </c>
      <c r="I316">
        <v>47</v>
      </c>
      <c r="J316" s="1766">
        <v>573923</v>
      </c>
      <c r="K316" s="1787">
        <v>1550</v>
      </c>
      <c r="L316" s="1787" t="s">
        <v>2420</v>
      </c>
      <c r="M316" s="1787" t="s">
        <v>2420</v>
      </c>
    </row>
  </sheetData>
  <sheetProtection algorithmName="SHA-512" hashValue="MIu5FaJr87mlUdfczKmfUhSS0Ehc+HxByzzkJ5nM+pPXXlJjUj885tbf9YRI8aX7B5rtVfuZj0G4wgIEPiInmQ==" saltValue="SuJrtNr4L69YoSBN7kBwcw=="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U256"/>
  <sheetViews>
    <sheetView showGridLines="0" tabSelected="1" topLeftCell="F9" zoomScale="80" zoomScaleNormal="80" workbookViewId="0">
      <selection activeCell="G12" sqref="G12"/>
    </sheetView>
  </sheetViews>
  <sheetFormatPr defaultColWidth="0" defaultRowHeight="20.25" customHeight="1" zeroHeight="1"/>
  <cols>
    <col min="1" max="1" width="10.44140625" hidden="1" customWidth="1"/>
    <col min="2" max="2" width="9.33203125" hidden="1" customWidth="1"/>
    <col min="3" max="3" width="15.5546875" hidden="1" customWidth="1"/>
    <col min="4" max="4" width="9.109375" hidden="1" customWidth="1"/>
    <col min="5" max="5" width="6" hidden="1" customWidth="1"/>
    <col min="6" max="6" width="9.109375" customWidth="1"/>
    <col min="7" max="7" width="44.33203125" customWidth="1"/>
    <col min="8" max="8" width="4.6640625" customWidth="1"/>
    <col min="9" max="9" width="14.109375" customWidth="1"/>
    <col min="10" max="10" width="19.109375" customWidth="1"/>
    <col min="11" max="11" width="15.88671875" customWidth="1"/>
    <col min="12" max="12" width="18.109375" customWidth="1"/>
    <col min="13" max="13" width="12.88671875" customWidth="1"/>
    <col min="14" max="16384" width="9.109375" hidden="1"/>
  </cols>
  <sheetData>
    <row r="1" spans="1:151" ht="183" hidden="1" customHeight="1">
      <c r="A1" s="2"/>
      <c r="B1" s="2"/>
      <c r="C1" s="2"/>
      <c r="D1" s="2"/>
      <c r="E1" s="2"/>
      <c r="F1" s="1827"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G1" s="1828"/>
      <c r="H1" s="1828"/>
      <c r="I1" s="1828"/>
      <c r="J1" s="1828"/>
      <c r="K1" s="1828"/>
      <c r="L1" s="1828"/>
      <c r="M1" s="1828"/>
      <c r="N1" s="2"/>
      <c r="O1" s="2"/>
      <c r="P1" s="2"/>
      <c r="Q1" s="2"/>
      <c r="R1" s="2"/>
      <c r="S1" s="2"/>
      <c r="T1" s="2"/>
      <c r="U1" s="2"/>
      <c r="V1" s="2"/>
      <c r="W1" s="2"/>
      <c r="X1" s="18"/>
      <c r="Y1" s="2"/>
      <c r="Z1" s="2"/>
      <c r="AA1" s="2"/>
      <c r="AB1" s="2"/>
      <c r="AC1" s="2"/>
      <c r="AD1" s="2"/>
      <c r="AE1" s="2"/>
      <c r="AF1" s="2"/>
      <c r="AG1" s="2"/>
      <c r="AH1" s="2"/>
      <c r="AI1" s="2"/>
      <c r="AJ1" s="2"/>
      <c r="AK1" s="2"/>
      <c r="AL1" s="2"/>
      <c r="AM1" s="2"/>
    </row>
    <row r="2" spans="1:151" ht="179.25" hidden="1" customHeight="1">
      <c r="A2" s="661" t="s">
        <v>266</v>
      </c>
      <c r="B2" s="662" t="s">
        <v>267</v>
      </c>
      <c r="C2" s="664" t="s">
        <v>775</v>
      </c>
      <c r="D2" s="652" t="s">
        <v>713</v>
      </c>
      <c r="E2" s="647" t="s">
        <v>714</v>
      </c>
      <c r="F2" s="647" t="s">
        <v>715</v>
      </c>
      <c r="G2" s="647" t="s">
        <v>716</v>
      </c>
      <c r="H2" s="647" t="s">
        <v>717</v>
      </c>
      <c r="I2" s="647" t="s">
        <v>718</v>
      </c>
      <c r="J2" s="647" t="s">
        <v>719</v>
      </c>
      <c r="K2" s="647" t="s">
        <v>720</v>
      </c>
      <c r="L2" s="647" t="s">
        <v>721</v>
      </c>
      <c r="M2" s="647" t="s">
        <v>722</v>
      </c>
      <c r="N2" s="647" t="s">
        <v>731</v>
      </c>
      <c r="O2" s="647" t="s">
        <v>723</v>
      </c>
      <c r="P2" s="647" t="s">
        <v>724</v>
      </c>
      <c r="Q2" s="647" t="s">
        <v>725</v>
      </c>
      <c r="R2" s="647" t="s">
        <v>726</v>
      </c>
      <c r="S2" s="647" t="s">
        <v>727</v>
      </c>
      <c r="T2" s="647" t="s">
        <v>728</v>
      </c>
      <c r="U2" s="647" t="s">
        <v>729</v>
      </c>
      <c r="V2" s="647" t="s">
        <v>730</v>
      </c>
      <c r="W2" s="647" t="s">
        <v>770</v>
      </c>
      <c r="X2" s="648" t="s">
        <v>732</v>
      </c>
      <c r="Y2" s="648" t="s">
        <v>733</v>
      </c>
      <c r="Z2" s="648" t="s">
        <v>734</v>
      </c>
      <c r="AA2" s="648" t="s">
        <v>735</v>
      </c>
      <c r="AB2" s="648" t="s">
        <v>736</v>
      </c>
      <c r="AC2" s="648" t="s">
        <v>737</v>
      </c>
      <c r="AD2" s="648" t="s">
        <v>738</v>
      </c>
      <c r="AE2" s="648" t="s">
        <v>739</v>
      </c>
      <c r="AF2" s="648" t="s">
        <v>740</v>
      </c>
      <c r="AG2" s="648" t="s">
        <v>741</v>
      </c>
      <c r="AH2" s="648" t="s">
        <v>742</v>
      </c>
      <c r="AI2" s="648" t="s">
        <v>743</v>
      </c>
      <c r="AJ2" s="648" t="s">
        <v>744</v>
      </c>
      <c r="AK2" s="648" t="s">
        <v>745</v>
      </c>
      <c r="AL2" s="648" t="s">
        <v>746</v>
      </c>
      <c r="AM2" s="648" t="s">
        <v>747</v>
      </c>
      <c r="AN2" s="648" t="s">
        <v>748</v>
      </c>
      <c r="AO2" s="648" t="s">
        <v>749</v>
      </c>
      <c r="AP2" s="648" t="s">
        <v>750</v>
      </c>
      <c r="AQ2" s="648" t="s">
        <v>771</v>
      </c>
      <c r="AR2" s="649" t="s">
        <v>751</v>
      </c>
      <c r="AS2" s="649" t="s">
        <v>752</v>
      </c>
      <c r="AT2" s="649" t="s">
        <v>753</v>
      </c>
      <c r="AU2" s="649" t="s">
        <v>754</v>
      </c>
      <c r="AV2" s="649" t="s">
        <v>755</v>
      </c>
      <c r="AW2" s="649" t="s">
        <v>756</v>
      </c>
      <c r="AX2" s="649" t="s">
        <v>757</v>
      </c>
      <c r="AY2" s="649" t="s">
        <v>758</v>
      </c>
      <c r="AZ2" s="649" t="s">
        <v>759</v>
      </c>
      <c r="BA2" s="649" t="s">
        <v>760</v>
      </c>
      <c r="BB2" s="649" t="s">
        <v>761</v>
      </c>
      <c r="BC2" s="649" t="s">
        <v>762</v>
      </c>
      <c r="BD2" s="649" t="s">
        <v>763</v>
      </c>
      <c r="BE2" s="649" t="s">
        <v>764</v>
      </c>
      <c r="BF2" s="649" t="s">
        <v>765</v>
      </c>
      <c r="BG2" s="649" t="s">
        <v>766</v>
      </c>
      <c r="BH2" s="649" t="s">
        <v>767</v>
      </c>
      <c r="BI2" s="649" t="s">
        <v>768</v>
      </c>
      <c r="BJ2" s="649" t="s">
        <v>769</v>
      </c>
      <c r="BK2" s="650" t="s">
        <v>772</v>
      </c>
    </row>
    <row r="3" spans="1:151" ht="13.5" hidden="1" customHeight="1">
      <c r="A3" s="663" t="e">
        <f>A7</f>
        <v>#N/A</v>
      </c>
      <c r="B3" s="663" t="str">
        <f>B7</f>
        <v/>
      </c>
      <c r="C3" s="665">
        <f>'1C.Eviction'!$E$7</f>
        <v>0</v>
      </c>
      <c r="D3" s="665">
        <f>'1C.Eviction'!$E$10</f>
        <v>0</v>
      </c>
      <c r="E3" s="644">
        <f>'1C.Eviction'!$E$11</f>
        <v>0</v>
      </c>
      <c r="F3" s="644">
        <f>'1C.Eviction'!$E$12</f>
        <v>0</v>
      </c>
      <c r="G3" s="644">
        <f>'1C.Eviction'!$E$13</f>
        <v>0</v>
      </c>
      <c r="H3" s="644">
        <f>'1C.Eviction'!$E$14</f>
        <v>0</v>
      </c>
      <c r="I3" s="644">
        <f>'1C.Eviction'!$E$15</f>
        <v>0</v>
      </c>
      <c r="J3" s="644">
        <f>'1C.Eviction'!$E$16</f>
        <v>0</v>
      </c>
      <c r="K3" s="644">
        <f>'1C.Eviction'!$E$17</f>
        <v>0</v>
      </c>
      <c r="L3" s="644">
        <f>'1C.Eviction'!$E$18</f>
        <v>0</v>
      </c>
      <c r="M3" s="644">
        <f>'1C.Eviction'!$E$19</f>
        <v>0</v>
      </c>
      <c r="N3" s="644">
        <f>'1C.Eviction'!$E$20</f>
        <v>0</v>
      </c>
      <c r="O3" s="644">
        <f>'1C.Eviction'!$E$21</f>
        <v>0</v>
      </c>
      <c r="P3" s="644">
        <f>'1C.Eviction'!$E$22</f>
        <v>0</v>
      </c>
      <c r="Q3" s="644">
        <f>'1C.Eviction'!$E$23</f>
        <v>0</v>
      </c>
      <c r="R3" s="644">
        <f>'1C.Eviction'!$E$24</f>
        <v>0</v>
      </c>
      <c r="S3" s="644">
        <f>'1C.Eviction'!$E$25</f>
        <v>0</v>
      </c>
      <c r="T3" s="644">
        <f>'1C.Eviction'!$E$26</f>
        <v>0</v>
      </c>
      <c r="U3" s="644">
        <f>'1C.Eviction'!$E$27</f>
        <v>0</v>
      </c>
      <c r="V3" s="644">
        <f>'1C.Eviction'!$E$28</f>
        <v>0</v>
      </c>
      <c r="W3" s="644">
        <f>'1C.Eviction'!$E$29</f>
        <v>0</v>
      </c>
      <c r="X3" s="644">
        <f>'1C.Eviction'!$E$32</f>
        <v>0</v>
      </c>
      <c r="Y3" s="644">
        <f>'1C.Eviction'!$E$33</f>
        <v>0</v>
      </c>
      <c r="Z3" s="644">
        <f>'1C.Eviction'!$E$34</f>
        <v>0</v>
      </c>
      <c r="AA3" s="644">
        <f>'1C.Eviction'!$E$35</f>
        <v>0</v>
      </c>
      <c r="AB3" s="644">
        <f>'1C.Eviction'!$E$36</f>
        <v>0</v>
      </c>
      <c r="AC3" s="644">
        <f>'1C.Eviction'!$E$37</f>
        <v>0</v>
      </c>
      <c r="AD3" s="644">
        <f>'1C.Eviction'!$E$38</f>
        <v>0</v>
      </c>
      <c r="AE3" s="644">
        <f>'1C.Eviction'!$E$39</f>
        <v>0</v>
      </c>
      <c r="AF3" s="644">
        <f>'1C.Eviction'!$E$40</f>
        <v>0</v>
      </c>
      <c r="AG3" s="644">
        <f>'1C.Eviction'!$E$41</f>
        <v>0</v>
      </c>
      <c r="AH3" s="644">
        <f>'1C.Eviction'!$E$42</f>
        <v>0</v>
      </c>
      <c r="AI3" s="644">
        <f>'1C.Eviction'!$E$43</f>
        <v>0</v>
      </c>
      <c r="AJ3" s="644">
        <f>'1C.Eviction'!$E$44</f>
        <v>0</v>
      </c>
      <c r="AK3" s="644">
        <f>'1C.Eviction'!$E$45</f>
        <v>0</v>
      </c>
      <c r="AL3" s="644">
        <f>'1C.Eviction'!$E$46</f>
        <v>0</v>
      </c>
      <c r="AM3" s="644">
        <f>'1C.Eviction'!$E$47</f>
        <v>0</v>
      </c>
      <c r="AN3" s="644">
        <f>'1C.Eviction'!$E$48</f>
        <v>0</v>
      </c>
      <c r="AO3" s="644">
        <f>'1C.Eviction'!$E$49</f>
        <v>0</v>
      </c>
      <c r="AP3" s="644">
        <f>'1C.Eviction'!$E$50</f>
        <v>0</v>
      </c>
      <c r="AQ3" s="644">
        <f>'1C.Eviction'!$E$51</f>
        <v>0</v>
      </c>
      <c r="AR3" s="644">
        <f>'1C.Eviction'!$E$54</f>
        <v>0</v>
      </c>
      <c r="AS3" s="644">
        <f>'1C.Eviction'!$E$55</f>
        <v>0</v>
      </c>
      <c r="AT3" s="644">
        <f>'1C.Eviction'!$E$56</f>
        <v>0</v>
      </c>
      <c r="AU3" s="644">
        <f>'1C.Eviction'!$E$57</f>
        <v>0</v>
      </c>
      <c r="AV3" s="644">
        <f>'1C.Eviction'!$E$58</f>
        <v>0</v>
      </c>
      <c r="AW3" s="644">
        <f>'1C.Eviction'!$E$59</f>
        <v>0</v>
      </c>
      <c r="AX3" s="644">
        <f>'1C.Eviction'!$E$60</f>
        <v>0</v>
      </c>
      <c r="AY3" s="644">
        <f>'1C.Eviction'!$E$61</f>
        <v>0</v>
      </c>
      <c r="AZ3" s="644">
        <f>'1C.Eviction'!$E$62</f>
        <v>0</v>
      </c>
      <c r="BA3" s="644">
        <f>'1C.Eviction'!$E$63</f>
        <v>0</v>
      </c>
      <c r="BB3" s="644">
        <f>'1C.Eviction'!$E$64</f>
        <v>0</v>
      </c>
      <c r="BC3" s="644">
        <f>'1C.Eviction'!$E$65</f>
        <v>0</v>
      </c>
      <c r="BD3" s="644">
        <f>'1C.Eviction'!$E$66</f>
        <v>0</v>
      </c>
      <c r="BE3" s="644">
        <f>'1C.Eviction'!$E$67</f>
        <v>0</v>
      </c>
      <c r="BF3" s="644">
        <f>'1C.Eviction'!$E$68</f>
        <v>0</v>
      </c>
      <c r="BG3" s="644">
        <f>'1C.Eviction'!$E$69</f>
        <v>0</v>
      </c>
      <c r="BH3" s="644">
        <f>'1C.Eviction'!$E$70</f>
        <v>0</v>
      </c>
      <c r="BI3" s="644">
        <f>'1C.Eviction'!$E$71</f>
        <v>0</v>
      </c>
      <c r="BJ3" s="644">
        <f>'1C.Eviction'!$E$72</f>
        <v>0</v>
      </c>
      <c r="BK3" s="644">
        <f>'1C.Eviction'!$E$73</f>
        <v>0</v>
      </c>
    </row>
    <row r="4" spans="1:151" ht="13.5" hidden="1" customHeight="1">
      <c r="EL4" s="720" t="s">
        <v>835</v>
      </c>
      <c r="EQ4" t="s">
        <v>1606</v>
      </c>
      <c r="EU4" t="s">
        <v>2167</v>
      </c>
    </row>
    <row r="5" spans="1:151" ht="18.75" hidden="1" customHeight="1">
      <c r="A5" s="236"/>
      <c r="B5" s="236"/>
      <c r="C5" s="237">
        <f>$F$12</f>
        <v>1</v>
      </c>
      <c r="D5" s="237">
        <f>$F$13</f>
        <v>2</v>
      </c>
      <c r="E5" s="237">
        <f>$F$14</f>
        <v>3</v>
      </c>
      <c r="F5" s="237">
        <f>F15</f>
        <v>4</v>
      </c>
      <c r="G5" s="237">
        <f>$F$48</f>
        <v>33</v>
      </c>
      <c r="H5" s="237">
        <f>$F$41</f>
        <v>26</v>
      </c>
      <c r="I5" s="237">
        <f>$F$43</f>
        <v>28</v>
      </c>
      <c r="J5" s="237">
        <f>$F$44</f>
        <v>29</v>
      </c>
      <c r="K5" s="237">
        <f>$F$45</f>
        <v>30</v>
      </c>
      <c r="L5" s="237">
        <f>$F$46</f>
        <v>31</v>
      </c>
      <c r="M5" s="237">
        <f>$F$20</f>
        <v>8</v>
      </c>
      <c r="N5" s="237">
        <f>$F$21</f>
        <v>9</v>
      </c>
      <c r="O5" s="237">
        <f>$F$22</f>
        <v>10</v>
      </c>
      <c r="P5" s="237">
        <f>$F$23</f>
        <v>11</v>
      </c>
      <c r="Q5" s="237">
        <f>$F$27</f>
        <v>15</v>
      </c>
      <c r="R5" s="237">
        <f>$F$28</f>
        <v>16</v>
      </c>
      <c r="S5" s="237">
        <f>$F$29</f>
        <v>17</v>
      </c>
      <c r="T5" s="237">
        <f>$F$30</f>
        <v>18</v>
      </c>
      <c r="U5" s="237">
        <f>$F$31</f>
        <v>19</v>
      </c>
      <c r="V5" s="237">
        <f>$F$32</f>
        <v>20</v>
      </c>
      <c r="W5" s="237">
        <f>$F$33</f>
        <v>21</v>
      </c>
      <c r="X5" s="237">
        <f>$F$34</f>
        <v>22</v>
      </c>
      <c r="Y5" s="237">
        <f>$F$35</f>
        <v>23</v>
      </c>
      <c r="Z5" s="237">
        <f>$F$36</f>
        <v>24</v>
      </c>
      <c r="AA5" s="237">
        <f>F55</f>
        <v>40</v>
      </c>
      <c r="AB5" s="237">
        <f>$F$56</f>
        <v>41</v>
      </c>
      <c r="AC5" s="237"/>
      <c r="AD5" s="237">
        <f>$F$79</f>
        <v>59</v>
      </c>
      <c r="AE5" s="594"/>
      <c r="AF5" s="595">
        <f>$F$82</f>
        <v>62</v>
      </c>
      <c r="AG5" s="594"/>
      <c r="AH5" s="595">
        <f>$F$83</f>
        <v>63</v>
      </c>
      <c r="AI5" s="594"/>
      <c r="AJ5" s="595">
        <f>$F$84</f>
        <v>64</v>
      </c>
      <c r="AK5" s="594"/>
      <c r="AL5" s="595">
        <f>$F$85</f>
        <v>65</v>
      </c>
      <c r="AM5" s="594"/>
      <c r="AN5" s="595">
        <f>$F$86</f>
        <v>66</v>
      </c>
      <c r="AO5" s="595" t="e">
        <f>#REF!</f>
        <v>#REF!</v>
      </c>
      <c r="AP5" s="595" t="e">
        <f>#REF!</f>
        <v>#REF!</v>
      </c>
      <c r="AQ5" s="595" t="e">
        <f>#REF!</f>
        <v>#REF!</v>
      </c>
      <c r="AR5" s="595" t="e">
        <f>#REF!</f>
        <v>#REF!</v>
      </c>
      <c r="AS5" s="595">
        <f>$F$57</f>
        <v>42</v>
      </c>
      <c r="AT5" s="595">
        <f>$F$58</f>
        <v>43</v>
      </c>
      <c r="AU5" s="595">
        <f>$F$59</f>
        <v>44</v>
      </c>
      <c r="AV5" s="595">
        <f>$F$60</f>
        <v>45</v>
      </c>
      <c r="AW5" s="593"/>
      <c r="AX5" s="593"/>
      <c r="AY5" s="593"/>
      <c r="AZ5" s="593"/>
      <c r="BA5" s="593"/>
      <c r="BB5" s="593"/>
      <c r="BC5" s="595">
        <f>$F$42</f>
        <v>27</v>
      </c>
      <c r="BD5" s="595">
        <f>$F$47</f>
        <v>32</v>
      </c>
      <c r="BE5" s="593"/>
      <c r="BF5" s="593"/>
      <c r="BG5" s="593"/>
      <c r="BI5" s="595">
        <v>55</v>
      </c>
      <c r="EJ5" s="595">
        <f>$F$17</f>
        <v>5</v>
      </c>
      <c r="EK5" s="595">
        <f>$F$18</f>
        <v>6</v>
      </c>
      <c r="EL5" s="595">
        <f>$F$19</f>
        <v>7</v>
      </c>
      <c r="EN5" s="595">
        <f>$F$78</f>
        <v>58</v>
      </c>
      <c r="EO5" s="595"/>
      <c r="EP5" s="595">
        <f>$F$87</f>
        <v>67</v>
      </c>
    </row>
    <row r="6" spans="1:151" ht="153.75" hidden="1" customHeight="1">
      <c r="A6" s="186" t="s">
        <v>266</v>
      </c>
      <c r="B6" s="187" t="s">
        <v>267</v>
      </c>
      <c r="C6" s="188" t="s">
        <v>268</v>
      </c>
      <c r="D6" s="188" t="s">
        <v>269</v>
      </c>
      <c r="E6" s="188" t="s">
        <v>270</v>
      </c>
      <c r="F6" s="188" t="s">
        <v>390</v>
      </c>
      <c r="G6" s="198" t="s">
        <v>271</v>
      </c>
      <c r="H6" s="189" t="s">
        <v>272</v>
      </c>
      <c r="I6" s="190" t="s">
        <v>273</v>
      </c>
      <c r="J6" s="189" t="s">
        <v>274</v>
      </c>
      <c r="K6" s="189" t="s">
        <v>275</v>
      </c>
      <c r="L6" s="189" t="s">
        <v>34</v>
      </c>
      <c r="M6" s="189" t="s">
        <v>276</v>
      </c>
      <c r="N6" s="189" t="s">
        <v>277</v>
      </c>
      <c r="O6" s="189" t="s">
        <v>278</v>
      </c>
      <c r="P6" s="189" t="s">
        <v>279</v>
      </c>
      <c r="Q6" s="189" t="s">
        <v>280</v>
      </c>
      <c r="R6" s="189" t="s">
        <v>281</v>
      </c>
      <c r="S6" s="189" t="s">
        <v>282</v>
      </c>
      <c r="T6" s="189" t="s">
        <v>283</v>
      </c>
      <c r="U6" s="189" t="s">
        <v>284</v>
      </c>
      <c r="V6" s="189" t="s">
        <v>285</v>
      </c>
      <c r="W6" s="189" t="s">
        <v>286</v>
      </c>
      <c r="X6" s="189" t="s">
        <v>287</v>
      </c>
      <c r="Y6" s="189" t="s">
        <v>288</v>
      </c>
      <c r="Z6" s="189" t="s">
        <v>289</v>
      </c>
      <c r="AA6" s="198" t="s">
        <v>290</v>
      </c>
      <c r="AB6" s="198" t="s">
        <v>291</v>
      </c>
      <c r="AC6" s="189" t="s">
        <v>292</v>
      </c>
      <c r="AD6" s="189" t="s">
        <v>293</v>
      </c>
      <c r="AE6" s="586" t="s">
        <v>575</v>
      </c>
      <c r="AF6" s="586" t="s">
        <v>576</v>
      </c>
      <c r="AG6" s="586" t="s">
        <v>577</v>
      </c>
      <c r="AH6" s="586" t="s">
        <v>578</v>
      </c>
      <c r="AI6" s="586" t="s">
        <v>579</v>
      </c>
      <c r="AJ6" s="586" t="s">
        <v>580</v>
      </c>
      <c r="AK6" s="586" t="s">
        <v>581</v>
      </c>
      <c r="AL6" s="586" t="s">
        <v>582</v>
      </c>
      <c r="AM6" s="586" t="s">
        <v>583</v>
      </c>
      <c r="AN6" s="586" t="s">
        <v>584</v>
      </c>
      <c r="AO6" s="586" t="s">
        <v>585</v>
      </c>
      <c r="AP6" s="587" t="s">
        <v>586</v>
      </c>
      <c r="AQ6" s="587" t="s">
        <v>587</v>
      </c>
      <c r="AR6" s="587" t="s">
        <v>588</v>
      </c>
      <c r="AS6" s="586" t="s">
        <v>589</v>
      </c>
      <c r="AT6" s="586" t="s">
        <v>590</v>
      </c>
      <c r="AU6" s="586" t="s">
        <v>591</v>
      </c>
      <c r="AV6" s="586" t="s">
        <v>592</v>
      </c>
      <c r="AW6" s="588" t="s">
        <v>593</v>
      </c>
      <c r="AX6" s="589" t="s">
        <v>594</v>
      </c>
      <c r="AY6" s="589" t="s">
        <v>595</v>
      </c>
      <c r="AZ6" s="589" t="s">
        <v>596</v>
      </c>
      <c r="BA6" s="589" t="s">
        <v>597</v>
      </c>
      <c r="BB6" s="589" t="s">
        <v>104</v>
      </c>
      <c r="BC6" s="586" t="s">
        <v>598</v>
      </c>
      <c r="BD6" s="586" t="s">
        <v>599</v>
      </c>
      <c r="BE6" s="590" t="s">
        <v>600</v>
      </c>
      <c r="BF6" s="590" t="s">
        <v>601</v>
      </c>
      <c r="BG6" s="590" t="s">
        <v>602</v>
      </c>
      <c r="BH6" s="586" t="s">
        <v>603</v>
      </c>
      <c r="BI6" s="591" t="s">
        <v>604</v>
      </c>
      <c r="BJ6" s="592" t="s">
        <v>605</v>
      </c>
      <c r="BK6" s="592" t="s">
        <v>606</v>
      </c>
      <c r="BL6" s="592" t="s">
        <v>607</v>
      </c>
      <c r="BM6" s="592" t="s">
        <v>608</v>
      </c>
      <c r="BN6" s="592" t="s">
        <v>609</v>
      </c>
      <c r="BO6" s="592" t="s">
        <v>610</v>
      </c>
      <c r="BP6" s="592" t="s">
        <v>611</v>
      </c>
      <c r="BQ6" s="592" t="s">
        <v>612</v>
      </c>
      <c r="BR6" s="592" t="s">
        <v>613</v>
      </c>
      <c r="BS6" s="592" t="s">
        <v>614</v>
      </c>
      <c r="BT6" s="592" t="s">
        <v>615</v>
      </c>
      <c r="BU6" s="592" t="s">
        <v>616</v>
      </c>
      <c r="BV6" s="592" t="s">
        <v>617</v>
      </c>
      <c r="BW6" s="592" t="s">
        <v>618</v>
      </c>
      <c r="BX6" s="592" t="s">
        <v>619</v>
      </c>
      <c r="BY6" s="592" t="s">
        <v>620</v>
      </c>
      <c r="BZ6" s="592" t="s">
        <v>621</v>
      </c>
      <c r="CA6" s="592" t="s">
        <v>622</v>
      </c>
      <c r="CB6" s="592" t="s">
        <v>623</v>
      </c>
      <c r="CC6" s="592" t="s">
        <v>624</v>
      </c>
      <c r="CD6" s="592" t="s">
        <v>625</v>
      </c>
      <c r="CE6" s="592" t="s">
        <v>626</v>
      </c>
      <c r="CF6" s="592" t="s">
        <v>627</v>
      </c>
      <c r="CG6" s="592" t="s">
        <v>628</v>
      </c>
      <c r="CH6" s="592" t="s">
        <v>629</v>
      </c>
      <c r="CI6" s="592" t="s">
        <v>630</v>
      </c>
      <c r="CJ6" s="592" t="s">
        <v>631</v>
      </c>
      <c r="CK6" s="592" t="s">
        <v>632</v>
      </c>
      <c r="CL6" s="592" t="s">
        <v>633</v>
      </c>
      <c r="CM6" s="592" t="s">
        <v>634</v>
      </c>
      <c r="CN6" s="592" t="s">
        <v>635</v>
      </c>
      <c r="CO6" s="592" t="s">
        <v>636</v>
      </c>
      <c r="CP6" s="592" t="s">
        <v>637</v>
      </c>
      <c r="CQ6" s="592" t="s">
        <v>638</v>
      </c>
      <c r="CR6" s="592" t="s">
        <v>639</v>
      </c>
      <c r="CS6" s="592" t="s">
        <v>640</v>
      </c>
      <c r="CT6" s="592" t="s">
        <v>641</v>
      </c>
      <c r="CU6" s="592" t="s">
        <v>642</v>
      </c>
      <c r="CV6" s="592" t="s">
        <v>643</v>
      </c>
      <c r="CW6" s="592" t="s">
        <v>644</v>
      </c>
      <c r="CX6" s="592" t="s">
        <v>645</v>
      </c>
      <c r="CY6" s="592" t="s">
        <v>646</v>
      </c>
      <c r="CZ6" s="592" t="s">
        <v>647</v>
      </c>
      <c r="DA6" s="592" t="s">
        <v>648</v>
      </c>
      <c r="DB6" s="592" t="s">
        <v>649</v>
      </c>
      <c r="DC6" s="592" t="s">
        <v>650</v>
      </c>
      <c r="DD6" s="592" t="s">
        <v>651</v>
      </c>
      <c r="DE6" s="592" t="s">
        <v>652</v>
      </c>
      <c r="DF6" s="592" t="s">
        <v>653</v>
      </c>
      <c r="DG6" s="592" t="s">
        <v>654</v>
      </c>
      <c r="DH6" s="592" t="s">
        <v>655</v>
      </c>
      <c r="DI6" s="592" t="s">
        <v>656</v>
      </c>
      <c r="DJ6" s="592" t="s">
        <v>657</v>
      </c>
      <c r="DK6" s="592" t="s">
        <v>658</v>
      </c>
      <c r="DL6" s="592" t="s">
        <v>383</v>
      </c>
      <c r="DM6" s="592" t="s">
        <v>659</v>
      </c>
      <c r="DN6" s="592" t="s">
        <v>382</v>
      </c>
      <c r="DO6" s="592" t="s">
        <v>660</v>
      </c>
      <c r="DP6" s="592" t="s">
        <v>380</v>
      </c>
      <c r="DQ6" s="592" t="s">
        <v>379</v>
      </c>
      <c r="DR6" s="592" t="s">
        <v>661</v>
      </c>
      <c r="DS6" s="592" t="s">
        <v>388</v>
      </c>
      <c r="DT6" s="592" t="s">
        <v>389</v>
      </c>
      <c r="DU6" s="592" t="s">
        <v>386</v>
      </c>
      <c r="DV6" s="592" t="s">
        <v>387</v>
      </c>
      <c r="DW6" s="592" t="s">
        <v>662</v>
      </c>
      <c r="DX6" s="592" t="s">
        <v>663</v>
      </c>
      <c r="DY6" s="592" t="s">
        <v>664</v>
      </c>
      <c r="DZ6" s="592" t="s">
        <v>665</v>
      </c>
      <c r="EA6" s="592" t="s">
        <v>666</v>
      </c>
      <c r="EB6" s="592" t="s">
        <v>667</v>
      </c>
      <c r="EC6" s="592" t="s">
        <v>668</v>
      </c>
      <c r="ED6" s="592" t="s">
        <v>669</v>
      </c>
      <c r="EE6" s="592" t="s">
        <v>670</v>
      </c>
      <c r="EF6" s="592" t="s">
        <v>671</v>
      </c>
      <c r="EG6" s="592" t="s">
        <v>672</v>
      </c>
      <c r="EH6" s="592" t="s">
        <v>673</v>
      </c>
      <c r="EI6" s="592" t="s">
        <v>781</v>
      </c>
      <c r="EJ6" s="719" t="s">
        <v>832</v>
      </c>
      <c r="EK6" s="719" t="s">
        <v>833</v>
      </c>
      <c r="EL6" s="719" t="s">
        <v>834</v>
      </c>
      <c r="EM6" s="719" t="s">
        <v>836</v>
      </c>
      <c r="EN6" s="719" t="s">
        <v>837</v>
      </c>
      <c r="EO6" s="719" t="s">
        <v>838</v>
      </c>
      <c r="EP6" s="719" t="s">
        <v>839</v>
      </c>
      <c r="EQ6" s="163" t="s">
        <v>1604</v>
      </c>
      <c r="ER6" s="163" t="s">
        <v>1605</v>
      </c>
      <c r="ES6" s="163" t="s">
        <v>2417</v>
      </c>
      <c r="ET6" s="163" t="s">
        <v>2416</v>
      </c>
      <c r="EU6" t="s">
        <v>2166</v>
      </c>
    </row>
    <row r="7" spans="1:151" ht="26.25" hidden="1" customHeight="1">
      <c r="A7" s="191" t="e">
        <f>INDEX('HIDE-ProjList'!$K:$K,MATCH($G$14,'HIDE-ProjList'!$B:$B,0))</f>
        <v>#N/A</v>
      </c>
      <c r="B7" s="419" t="str">
        <f>IF(G13&lt;&gt;"", YEAR(G13), "")</f>
        <v/>
      </c>
      <c r="C7" s="192">
        <f>$G$12</f>
        <v>0</v>
      </c>
      <c r="D7" s="192">
        <f>$G$13</f>
        <v>0</v>
      </c>
      <c r="E7" s="193">
        <f>$G$14</f>
        <v>0</v>
      </c>
      <c r="F7" s="193" t="str">
        <f>G15</f>
        <v/>
      </c>
      <c r="G7" s="194">
        <f>$I$48</f>
        <v>0</v>
      </c>
      <c r="H7" s="195">
        <f>$I$41</f>
        <v>0</v>
      </c>
      <c r="I7" s="196">
        <f>$I$43</f>
        <v>0</v>
      </c>
      <c r="J7" s="195">
        <f>$I$44</f>
        <v>0</v>
      </c>
      <c r="K7" s="195">
        <f>$I$45</f>
        <v>0</v>
      </c>
      <c r="L7" s="195">
        <f>$I$46</f>
        <v>0</v>
      </c>
      <c r="M7" s="195">
        <f>$G$20</f>
        <v>0</v>
      </c>
      <c r="N7" s="195">
        <f>$G$21</f>
        <v>0</v>
      </c>
      <c r="O7" s="195">
        <f>$G$22</f>
        <v>0</v>
      </c>
      <c r="P7" s="195">
        <f>$G$23</f>
        <v>0</v>
      </c>
      <c r="Q7" s="195">
        <f>$G$27</f>
        <v>0</v>
      </c>
      <c r="R7" s="195">
        <f>$G$28</f>
        <v>0</v>
      </c>
      <c r="S7" s="195">
        <f>$G$29</f>
        <v>0</v>
      </c>
      <c r="T7" s="197">
        <f>$G$30</f>
        <v>0</v>
      </c>
      <c r="U7" s="195">
        <f>$G$31</f>
        <v>0</v>
      </c>
      <c r="V7" s="195">
        <f>$G$32</f>
        <v>0</v>
      </c>
      <c r="W7" s="195">
        <f>$G$33</f>
        <v>0</v>
      </c>
      <c r="X7" s="195">
        <f>$G$34</f>
        <v>0</v>
      </c>
      <c r="Y7" s="195">
        <f>$G$35</f>
        <v>0</v>
      </c>
      <c r="Z7" s="195">
        <f>$G$36</f>
        <v>0</v>
      </c>
      <c r="AA7" s="199">
        <f>$G$55</f>
        <v>0</v>
      </c>
      <c r="AB7" s="200">
        <f>$G$56</f>
        <v>0</v>
      </c>
      <c r="AC7" s="195">
        <f>$I$79</f>
        <v>0</v>
      </c>
      <c r="AD7" s="195">
        <f>$K$79</f>
        <v>0</v>
      </c>
      <c r="AE7" s="195">
        <f>$I$82</f>
        <v>0</v>
      </c>
      <c r="AF7" s="195">
        <f>$K$82</f>
        <v>0</v>
      </c>
      <c r="AG7" s="195">
        <f>$I$83</f>
        <v>0</v>
      </c>
      <c r="AH7" s="195">
        <f>$K$83</f>
        <v>0</v>
      </c>
      <c r="AI7" s="195">
        <f>$I$84</f>
        <v>0</v>
      </c>
      <c r="AJ7" s="195">
        <f>$K$84</f>
        <v>0</v>
      </c>
      <c r="AK7" s="195">
        <f>$I$85</f>
        <v>0</v>
      </c>
      <c r="AL7" s="195">
        <f>$K$85</f>
        <v>0</v>
      </c>
      <c r="AM7" s="195">
        <f>$I$86</f>
        <v>0</v>
      </c>
      <c r="AN7" s="195">
        <f>$K$86</f>
        <v>0</v>
      </c>
      <c r="AO7" s="195">
        <f>$G$50</f>
        <v>0</v>
      </c>
      <c r="AP7" s="596">
        <f>$G$51</f>
        <v>0</v>
      </c>
      <c r="AQ7" s="597">
        <f>$G$52</f>
        <v>0</v>
      </c>
      <c r="AR7" s="1569">
        <f>$G$53</f>
        <v>0</v>
      </c>
      <c r="AS7" s="195">
        <f>$G$57</f>
        <v>0</v>
      </c>
      <c r="AT7" s="195">
        <f>$G$58</f>
        <v>0</v>
      </c>
      <c r="AU7" s="195">
        <f>$G$59</f>
        <v>0</v>
      </c>
      <c r="AV7" s="195">
        <f>$G$60</f>
        <v>0</v>
      </c>
      <c r="AW7" s="210">
        <f>'4.Narrative'!F3</f>
        <v>0</v>
      </c>
      <c r="AX7" s="210">
        <f>'4.Narrative'!G3</f>
        <v>0</v>
      </c>
      <c r="AY7" s="210">
        <f>'4.Narrative'!H3</f>
        <v>0</v>
      </c>
      <c r="AZ7" s="210">
        <f>'4.Narrative'!I3</f>
        <v>0</v>
      </c>
      <c r="BA7" s="210">
        <f>'4.Narrative'!J3</f>
        <v>0</v>
      </c>
      <c r="BB7" s="210">
        <f>'4.Narrative'!E3</f>
        <v>0</v>
      </c>
      <c r="BC7" s="195">
        <f>$I$42</f>
        <v>0</v>
      </c>
      <c r="BD7" s="195">
        <f>$I$47</f>
        <v>0</v>
      </c>
      <c r="BE7" s="598">
        <f>$G$24</f>
        <v>0</v>
      </c>
      <c r="BF7" s="598">
        <f>$G$25</f>
        <v>0</v>
      </c>
      <c r="BG7" s="598">
        <f>$G$26</f>
        <v>0</v>
      </c>
      <c r="BH7" s="599">
        <f>$G$49</f>
        <v>0</v>
      </c>
      <c r="BI7" s="600">
        <f>$G$38</f>
        <v>0</v>
      </c>
      <c r="BJ7" s="601">
        <f>'1B.TransitionalProg'!H7</f>
        <v>0</v>
      </c>
      <c r="BK7" s="601">
        <f>'1B.TransitionalProg'!I7</f>
        <v>0</v>
      </c>
      <c r="BL7" s="601">
        <f>'1B.TransitionalProg'!J7</f>
        <v>0</v>
      </c>
      <c r="BM7" s="601">
        <f>'1B.TransitionalProg'!K7</f>
        <v>0</v>
      </c>
      <c r="BN7" s="601">
        <f>'1B.TransitionalProg'!$H$8</f>
        <v>0</v>
      </c>
      <c r="BO7" s="601">
        <f>'1B.TransitionalProg'!H11</f>
        <v>0</v>
      </c>
      <c r="BP7" s="601">
        <f>'1B.TransitionalProg'!I11</f>
        <v>0</v>
      </c>
      <c r="BQ7" s="601">
        <f>'1B.TransitionalProg'!J11</f>
        <v>0</v>
      </c>
      <c r="BR7" s="601">
        <f>'1B.TransitionalProg'!K11</f>
        <v>0</v>
      </c>
      <c r="BS7" s="601">
        <f>'1B.TransitionalProg'!H12</f>
        <v>0</v>
      </c>
      <c r="BT7" s="601">
        <f>'1B.TransitionalProg'!I12</f>
        <v>0</v>
      </c>
      <c r="BU7" s="601">
        <f>'1B.TransitionalProg'!J12</f>
        <v>0</v>
      </c>
      <c r="BV7" s="601">
        <f>'1B.TransitionalProg'!K12</f>
        <v>0</v>
      </c>
      <c r="BW7" s="601">
        <f>'1B.TransitionalProg'!$H$13</f>
        <v>0</v>
      </c>
      <c r="BX7" s="601">
        <f>'1B.TransitionalProg'!H14</f>
        <v>0</v>
      </c>
      <c r="BY7" s="601">
        <f>'1B.TransitionalProg'!I14</f>
        <v>0</v>
      </c>
      <c r="BZ7" s="601">
        <f>'1B.TransitionalProg'!J14</f>
        <v>0</v>
      </c>
      <c r="CA7" s="601">
        <f>'1B.TransitionalProg'!K14</f>
        <v>0</v>
      </c>
      <c r="CB7" s="601">
        <f>'1B.TransitionalProg'!H15</f>
        <v>0</v>
      </c>
      <c r="CC7" s="601">
        <f>'1B.TransitionalProg'!I15</f>
        <v>0</v>
      </c>
      <c r="CD7" s="601">
        <f>'1B.TransitionalProg'!J15</f>
        <v>0</v>
      </c>
      <c r="CE7" s="601">
        <f>'1B.TransitionalProg'!K15</f>
        <v>0</v>
      </c>
      <c r="CF7" s="602">
        <f>'1B.TransitionalProg'!$H$16</f>
        <v>0</v>
      </c>
      <c r="CG7" s="603" t="str">
        <f>'1B.TransitionalProg'!$H$17</f>
        <v/>
      </c>
      <c r="CH7" s="604">
        <f>'1B.TransitionalProg'!H19</f>
        <v>0</v>
      </c>
      <c r="CI7" s="604">
        <f>'1B.TransitionalProg'!H20</f>
        <v>0</v>
      </c>
      <c r="CJ7" s="604">
        <f>'1B.TransitionalProg'!H22</f>
        <v>0</v>
      </c>
      <c r="CK7" s="604">
        <f>'1B.TransitionalProg'!H23</f>
        <v>0</v>
      </c>
      <c r="CL7" s="601">
        <f>'1B.TransitionalProg'!H24</f>
        <v>0</v>
      </c>
      <c r="CM7" s="601">
        <f>'1B.TransitionalProg'!H25</f>
        <v>0</v>
      </c>
      <c r="CN7" s="601">
        <f>'1B.TransitionalProg'!H26</f>
        <v>0</v>
      </c>
      <c r="CO7" s="601">
        <f>'1B.TransitionalProg'!H27</f>
        <v>0</v>
      </c>
      <c r="CP7" s="601">
        <f>'1B.TransitionalProg'!H28</f>
        <v>0</v>
      </c>
      <c r="CQ7" s="601">
        <f>'1B.TransitionalProg'!H30</f>
        <v>0</v>
      </c>
      <c r="CR7" s="601">
        <f>'1B.TransitionalProg'!H31</f>
        <v>0</v>
      </c>
      <c r="CS7" s="601">
        <f>'1B.TransitionalProg'!H32</f>
        <v>0</v>
      </c>
      <c r="CT7" s="601">
        <f>'1B.TransitionalProg'!H33</f>
        <v>0</v>
      </c>
      <c r="CU7" s="601">
        <f>'1B.TransitionalProg'!H34</f>
        <v>0</v>
      </c>
      <c r="CV7" s="601">
        <f>'1B.TransitionalProg'!H35</f>
        <v>0</v>
      </c>
      <c r="CW7" s="601">
        <f>'1B.TransitionalProg'!H36</f>
        <v>0</v>
      </c>
      <c r="CX7" s="601">
        <f>'1B.TransitionalProg'!H38</f>
        <v>0</v>
      </c>
      <c r="CY7" s="601">
        <f>'1B.TransitionalProg'!H39</f>
        <v>0</v>
      </c>
      <c r="CZ7" s="601">
        <f>'1B.TransitionalProg'!H40</f>
        <v>0</v>
      </c>
      <c r="DA7" s="601">
        <f>'1B.TransitionalProg'!H42</f>
        <v>0</v>
      </c>
      <c r="DB7" s="601">
        <f>'1B.TransitionalProg'!H43</f>
        <v>0</v>
      </c>
      <c r="DC7" s="601">
        <f>'1B.TransitionalProg'!H44</f>
        <v>0</v>
      </c>
      <c r="DD7" s="601">
        <f>'1B.TransitionalProg'!H45</f>
        <v>0</v>
      </c>
      <c r="DE7" s="601">
        <f>'1B.TransitionalProg'!H46</f>
        <v>0</v>
      </c>
      <c r="DF7" s="601">
        <f>'1B.TransitionalProg'!H48</f>
        <v>0</v>
      </c>
      <c r="DG7" s="601">
        <f>'1B.TransitionalProg'!H49</f>
        <v>0</v>
      </c>
      <c r="DH7" s="601">
        <f>'1B.TransitionalProg'!H50</f>
        <v>0</v>
      </c>
      <c r="DI7" s="601">
        <f>'1B.TransitionalProg'!H51</f>
        <v>0</v>
      </c>
      <c r="DJ7" s="601">
        <f>'1B.TransitionalProg'!H52</f>
        <v>0</v>
      </c>
      <c r="DK7" s="601">
        <f>'1B.TransitionalProg'!H53</f>
        <v>0</v>
      </c>
      <c r="DL7" s="601">
        <f>$G$63</f>
        <v>0</v>
      </c>
      <c r="DM7" s="601">
        <f>$G$64</f>
        <v>0</v>
      </c>
      <c r="DN7" s="601">
        <f>$G$65</f>
        <v>0</v>
      </c>
      <c r="DO7" s="601">
        <f>$G$66</f>
        <v>0</v>
      </c>
      <c r="DP7" s="601">
        <f>$G$67</f>
        <v>0</v>
      </c>
      <c r="DQ7" s="601">
        <f>$G$68</f>
        <v>0</v>
      </c>
      <c r="DR7" s="601">
        <f>$G$69</f>
        <v>0</v>
      </c>
      <c r="DS7" s="601">
        <f>$G$70</f>
        <v>0</v>
      </c>
      <c r="DT7" s="601">
        <f>$G$71</f>
        <v>0</v>
      </c>
      <c r="DU7" s="601">
        <f>$G$72</f>
        <v>0</v>
      </c>
      <c r="DV7" s="601">
        <f>$G$73</f>
        <v>0</v>
      </c>
      <c r="DW7" s="605">
        <f>$J$44</f>
        <v>0</v>
      </c>
      <c r="DX7" s="605">
        <f>$J$45</f>
        <v>0</v>
      </c>
      <c r="DY7" s="605">
        <f>$J$46</f>
        <v>0</v>
      </c>
      <c r="DZ7" s="605">
        <f>$J$47</f>
        <v>0</v>
      </c>
      <c r="EA7" s="605">
        <f>$K$41</f>
        <v>0</v>
      </c>
      <c r="EB7" s="605">
        <f>$K$42</f>
        <v>0</v>
      </c>
      <c r="EC7" s="605">
        <f>$K$43</f>
        <v>0</v>
      </c>
      <c r="ED7" s="605">
        <f t="shared" ref="ED7" si="0">$K$44</f>
        <v>0</v>
      </c>
      <c r="EE7" s="605">
        <f>$K$45</f>
        <v>0</v>
      </c>
      <c r="EF7" s="605">
        <f>$K$46</f>
        <v>0</v>
      </c>
      <c r="EG7" s="605">
        <f>$K$47</f>
        <v>0</v>
      </c>
      <c r="EH7" s="243" t="str">
        <f>'Completeness Tracker'!E52</f>
        <v>INCOMPLETE</v>
      </c>
      <c r="EI7" s="243">
        <f>'1B.TransitionalProg'!$L$7</f>
        <v>0</v>
      </c>
      <c r="EJ7" s="1570">
        <f>$G$17</f>
        <v>0</v>
      </c>
      <c r="EK7" s="160">
        <f>$G$18</f>
        <v>0</v>
      </c>
      <c r="EL7" s="160">
        <f>$G$19</f>
        <v>0</v>
      </c>
      <c r="EM7" s="160">
        <f>$I$78</f>
        <v>0</v>
      </c>
      <c r="EN7" s="160">
        <f>$K$78</f>
        <v>0</v>
      </c>
      <c r="EO7" s="160">
        <f>$I$87</f>
        <v>0</v>
      </c>
      <c r="EP7" s="160">
        <f>$K$87</f>
        <v>0</v>
      </c>
      <c r="EQ7" s="160">
        <f>$I$80</f>
        <v>0</v>
      </c>
      <c r="ER7" s="160">
        <f>$K$80</f>
        <v>0</v>
      </c>
      <c r="ES7" s="160">
        <f>$I$81</f>
        <v>0</v>
      </c>
      <c r="ET7" s="160">
        <f>$K$81</f>
        <v>0</v>
      </c>
      <c r="EU7" s="1577">
        <f>$G$61</f>
        <v>0</v>
      </c>
    </row>
    <row r="8" spans="1:151" ht="7.5" hidden="1" customHeight="1" thickBot="1">
      <c r="A8" s="228"/>
      <c r="B8" s="228"/>
      <c r="C8" s="219"/>
      <c r="D8" s="219"/>
      <c r="E8" s="219"/>
      <c r="F8" s="1829"/>
      <c r="G8" s="1830"/>
      <c r="H8" s="1830"/>
      <c r="I8" s="1830"/>
      <c r="J8" s="1830"/>
      <c r="K8" s="1830"/>
      <c r="L8" s="1831"/>
      <c r="N8" s="220"/>
      <c r="O8" s="220"/>
      <c r="P8" s="220"/>
      <c r="Q8" s="221"/>
      <c r="R8" s="221"/>
      <c r="S8" s="221"/>
      <c r="T8" s="222"/>
      <c r="U8" s="223"/>
      <c r="V8" s="220"/>
      <c r="W8" s="224"/>
      <c r="X8" s="220"/>
      <c r="Y8" s="220"/>
      <c r="Z8" s="220"/>
      <c r="AA8" s="220"/>
      <c r="AB8" s="220"/>
      <c r="AC8" s="220"/>
      <c r="AD8" s="220"/>
      <c r="AE8" s="220"/>
      <c r="AF8" s="220"/>
      <c r="AG8" s="220"/>
      <c r="AH8" s="225"/>
      <c r="AI8" s="220"/>
      <c r="AJ8" s="220"/>
      <c r="AK8" s="220"/>
      <c r="AL8" s="220"/>
      <c r="AM8" s="220"/>
    </row>
    <row r="9" spans="1:151" ht="20.25" customHeight="1">
      <c r="A9" s="754"/>
      <c r="B9" s="755"/>
      <c r="C9" s="756"/>
      <c r="D9" s="756"/>
      <c r="E9" s="756"/>
      <c r="F9" s="1832" t="str">
        <f>'Completeness Tracker'!$O$23&amp;" "&amp;'Completeness Tracker'!$O$28&amp;" - "&amp;'Completeness Tracker'!$O$24</f>
        <v xml:space="preserve">Annual Monitoring Report - Property &amp; Residents - Reporting Year 2018 - </v>
      </c>
      <c r="G9" s="1832"/>
      <c r="H9" s="1832"/>
      <c r="I9" s="1832"/>
      <c r="J9" s="1832"/>
      <c r="K9" s="1832"/>
      <c r="L9" s="1832"/>
      <c r="M9" s="1833"/>
      <c r="N9" s="220"/>
      <c r="O9" s="430" t="s">
        <v>258</v>
      </c>
      <c r="P9" s="431"/>
      <c r="Q9" s="431"/>
      <c r="R9" s="432" t="s">
        <v>412</v>
      </c>
      <c r="S9" s="1817" t="str">
        <f>IF(G15&lt;&gt; "", G15, "")</f>
        <v/>
      </c>
      <c r="T9" s="1818"/>
      <c r="U9" s="1818"/>
      <c r="V9" s="1818"/>
      <c r="W9" s="431"/>
      <c r="X9" s="433"/>
      <c r="Y9" s="434"/>
      <c r="Z9" s="220"/>
      <c r="AF9" s="220"/>
    </row>
    <row r="10" spans="1:151" ht="20.25" customHeight="1">
      <c r="A10" s="757"/>
      <c r="B10" s="165"/>
      <c r="C10" s="758"/>
      <c r="D10" s="758"/>
      <c r="E10" s="758"/>
      <c r="F10" s="759" t="str">
        <f>'Completeness Tracker'!$O$39</f>
        <v>Mayor's Office of Housing &amp; Community Development</v>
      </c>
      <c r="G10" s="759"/>
      <c r="H10" s="759"/>
      <c r="I10" s="759"/>
      <c r="J10" s="759"/>
      <c r="K10" s="759"/>
      <c r="L10" s="759"/>
      <c r="M10" s="760"/>
      <c r="N10" s="220"/>
      <c r="O10" s="728"/>
      <c r="P10" s="13"/>
      <c r="Q10" s="13"/>
      <c r="R10" s="729"/>
      <c r="S10" s="730"/>
      <c r="T10" s="730"/>
      <c r="U10" s="730"/>
      <c r="V10" s="730"/>
      <c r="W10" s="13"/>
      <c r="X10" s="105"/>
      <c r="Y10" s="436"/>
      <c r="Z10" s="220"/>
      <c r="AF10" s="968"/>
    </row>
    <row r="11" spans="1:151" ht="20.25" customHeight="1">
      <c r="A11" s="2"/>
      <c r="B11" s="2"/>
      <c r="C11" s="2"/>
      <c r="D11" s="2"/>
      <c r="E11" s="2"/>
      <c r="F11" s="748" t="s">
        <v>314</v>
      </c>
      <c r="G11" s="749" t="s">
        <v>31</v>
      </c>
      <c r="H11" s="750"/>
      <c r="I11" s="751"/>
      <c r="J11" s="752"/>
      <c r="K11" s="752"/>
      <c r="L11" s="752"/>
      <c r="M11" s="753"/>
      <c r="N11" s="117"/>
      <c r="O11" s="435"/>
      <c r="P11" s="13"/>
      <c r="Q11" s="4"/>
      <c r="R11" s="226" t="s">
        <v>413</v>
      </c>
      <c r="S11" s="246" t="str">
        <f>IF(I48&lt;&gt;0, I48, "")</f>
        <v/>
      </c>
      <c r="T11" s="4"/>
      <c r="U11" s="15"/>
      <c r="V11" s="15"/>
      <c r="W11" s="13"/>
      <c r="X11" s="105"/>
      <c r="Y11" s="436"/>
      <c r="Z11" s="2"/>
      <c r="AF11" s="969"/>
    </row>
    <row r="12" spans="1:151" ht="20.25" customHeight="1">
      <c r="A12" s="256">
        <f>IF(G12="",0,1)</f>
        <v>0</v>
      </c>
      <c r="B12" s="2"/>
      <c r="C12" s="2"/>
      <c r="D12" s="2"/>
      <c r="E12" s="2"/>
      <c r="F12" s="280">
        <v>1</v>
      </c>
      <c r="G12" s="1763"/>
      <c r="H12" s="106"/>
      <c r="I12" s="1819" t="s">
        <v>71</v>
      </c>
      <c r="J12" s="1820"/>
      <c r="K12" s="1820"/>
      <c r="L12" s="1820"/>
      <c r="M12" s="316"/>
      <c r="N12" s="117"/>
      <c r="O12" s="437">
        <v>1.1000000000000001</v>
      </c>
      <c r="P12" s="450" t="s">
        <v>415</v>
      </c>
      <c r="Q12" s="389" t="str">
        <f>IF(B15&lt;&gt;4,"incomplete","OK")</f>
        <v>incomplete</v>
      </c>
      <c r="R12" s="13"/>
      <c r="S12" s="13"/>
      <c r="T12" s="13"/>
      <c r="U12" s="13"/>
      <c r="V12" s="13"/>
      <c r="W12" s="13"/>
      <c r="X12" s="105"/>
      <c r="Y12" s="436"/>
      <c r="Z12" s="2"/>
      <c r="AF12" s="969"/>
    </row>
    <row r="13" spans="1:151" ht="20.25" customHeight="1">
      <c r="A13" s="256">
        <f>IF(G13="",0,1)</f>
        <v>0</v>
      </c>
      <c r="B13" s="2"/>
      <c r="C13" s="2"/>
      <c r="D13" s="2"/>
      <c r="E13" s="2"/>
      <c r="F13" s="88">
        <f>F12+1</f>
        <v>2</v>
      </c>
      <c r="G13" s="1763"/>
      <c r="H13" s="106"/>
      <c r="I13" s="1819" t="s">
        <v>254</v>
      </c>
      <c r="J13" s="1820"/>
      <c r="K13" s="1820"/>
      <c r="L13" s="1820"/>
      <c r="M13" s="316"/>
      <c r="N13" s="117"/>
      <c r="O13" s="438">
        <v>1.2</v>
      </c>
      <c r="P13" s="450" t="s">
        <v>800</v>
      </c>
      <c r="Q13" s="389" t="str">
        <f>IF(B36&lt;6,"incomplete","OK")</f>
        <v>incomplete</v>
      </c>
      <c r="R13" s="13"/>
      <c r="S13" s="13"/>
      <c r="T13" s="248" t="s">
        <v>134</v>
      </c>
      <c r="U13" s="13"/>
      <c r="V13" s="13"/>
      <c r="W13" s="13"/>
      <c r="X13" s="105"/>
      <c r="Y13" s="436"/>
      <c r="Z13" s="2"/>
      <c r="AF13" s="969"/>
    </row>
    <row r="14" spans="1:151" ht="20.25" customHeight="1">
      <c r="A14" s="256">
        <f>IF(G14="",0,1)</f>
        <v>0</v>
      </c>
      <c r="B14" s="2"/>
      <c r="C14" s="2" t="s">
        <v>1446</v>
      </c>
      <c r="D14" s="2"/>
      <c r="E14" s="2"/>
      <c r="F14" s="88">
        <f>F13+1</f>
        <v>3</v>
      </c>
      <c r="G14" s="965"/>
      <c r="H14" s="106"/>
      <c r="I14" s="1819" t="s">
        <v>1321</v>
      </c>
      <c r="J14" s="1820"/>
      <c r="K14" s="1820"/>
      <c r="L14" s="1820"/>
      <c r="M14" s="316"/>
      <c r="N14" s="119"/>
      <c r="O14" s="439">
        <v>1.3</v>
      </c>
      <c r="P14" s="450" t="s">
        <v>1442</v>
      </c>
      <c r="Q14" s="389" t="str">
        <f>IF($B$54&lt;&gt;14,"incomplete","OK")</f>
        <v>incomplete</v>
      </c>
      <c r="R14" s="4"/>
      <c r="S14" s="13"/>
      <c r="T14" s="249" t="s">
        <v>137</v>
      </c>
      <c r="U14" s="13"/>
      <c r="V14" s="13"/>
      <c r="W14" s="13"/>
      <c r="X14" s="105"/>
      <c r="Y14" s="436"/>
      <c r="Z14" s="2"/>
      <c r="AF14" s="969"/>
    </row>
    <row r="15" spans="1:151" ht="20.25" customHeight="1">
      <c r="A15" s="302">
        <f>IF(G15="",0,1)</f>
        <v>0</v>
      </c>
      <c r="B15" s="255">
        <f>SUM(A12:A15)</f>
        <v>0</v>
      </c>
      <c r="C15" s="1290" t="s">
        <v>1447</v>
      </c>
      <c r="D15" s="2"/>
      <c r="E15" s="2"/>
      <c r="F15" s="88">
        <f>F14+1</f>
        <v>4</v>
      </c>
      <c r="G15" s="1409" t="str">
        <f>IFERROR(INDEX('HIDE-ProjList'!$F:$F,MATCH($G$14,'HIDE-ProjList'!$B:$B,0)),"")</f>
        <v/>
      </c>
      <c r="H15" s="106"/>
      <c r="I15" s="1819" t="s">
        <v>391</v>
      </c>
      <c r="J15" s="1820"/>
      <c r="K15" s="1820"/>
      <c r="L15" s="1820"/>
      <c r="M15" s="316"/>
      <c r="N15" s="117"/>
      <c r="O15" s="1314">
        <v>1.4</v>
      </c>
      <c r="P15" s="450" t="s">
        <v>2617</v>
      </c>
      <c r="Q15" s="389" t="str">
        <f>IF($B$61&lt;6,"incomplete","OK")</f>
        <v>incomplete</v>
      </c>
      <c r="R15" s="13"/>
      <c r="S15" s="13"/>
      <c r="T15" s="250" t="s">
        <v>251</v>
      </c>
      <c r="U15" s="13"/>
      <c r="V15" s="13"/>
      <c r="W15" s="13"/>
      <c r="X15" s="105"/>
      <c r="Y15" s="436"/>
      <c r="Z15" s="2"/>
      <c r="AF15" s="969"/>
    </row>
    <row r="16" spans="1:151" ht="20.25" customHeight="1">
      <c r="A16" s="2"/>
      <c r="B16" s="299"/>
      <c r="C16" s="299"/>
      <c r="D16" s="299"/>
      <c r="E16" s="299"/>
      <c r="F16" s="317"/>
      <c r="G16" s="321" t="s">
        <v>30</v>
      </c>
      <c r="H16" s="312"/>
      <c r="I16" s="313"/>
      <c r="J16" s="314"/>
      <c r="K16" s="314"/>
      <c r="L16" s="314"/>
      <c r="M16" s="315"/>
      <c r="N16" s="117"/>
      <c r="O16" s="1336">
        <v>1.5</v>
      </c>
      <c r="P16" s="450" t="s">
        <v>2618</v>
      </c>
      <c r="Q16" s="389" t="str">
        <f>IF(C73&lt;9,"incomplete","OK")</f>
        <v>incomplete</v>
      </c>
      <c r="R16" s="13"/>
      <c r="S16" s="13"/>
      <c r="T16" s="251" t="s">
        <v>252</v>
      </c>
      <c r="U16" s="13"/>
      <c r="V16" s="13"/>
      <c r="W16" s="13"/>
      <c r="X16" s="13"/>
      <c r="Y16" s="436"/>
      <c r="Z16" s="2"/>
      <c r="AF16" s="969"/>
    </row>
    <row r="17" spans="1:32" ht="20.25" customHeight="1">
      <c r="A17" s="303">
        <f t="shared" ref="A17" si="1">IF(G17="",0,1)</f>
        <v>0</v>
      </c>
      <c r="B17" s="299"/>
      <c r="C17" s="299"/>
      <c r="D17" s="299"/>
      <c r="E17" s="299"/>
      <c r="F17" s="300">
        <f>F15+1</f>
        <v>5</v>
      </c>
      <c r="G17" s="721"/>
      <c r="H17" s="694"/>
      <c r="I17" s="1815" t="s">
        <v>799</v>
      </c>
      <c r="J17" s="1815"/>
      <c r="K17" s="1815"/>
      <c r="L17" s="1815"/>
      <c r="M17" s="695"/>
      <c r="N17" s="119"/>
      <c r="O17" s="435"/>
      <c r="P17" s="923"/>
      <c r="Q17" s="1335"/>
      <c r="R17" s="13"/>
      <c r="S17" s="13"/>
      <c r="T17" s="13"/>
      <c r="U17" s="13"/>
      <c r="V17" s="13"/>
      <c r="W17" s="13"/>
      <c r="X17" s="105"/>
      <c r="Y17" s="436"/>
      <c r="Z17" s="2"/>
      <c r="AF17" s="969"/>
    </row>
    <row r="18" spans="1:32" ht="20.25" customHeight="1">
      <c r="A18" s="303">
        <f t="shared" ref="A18:A36" si="2">IF(G18="",0,1)</f>
        <v>0</v>
      </c>
      <c r="B18" s="299"/>
      <c r="C18" s="299"/>
      <c r="D18" s="299"/>
      <c r="E18" s="299"/>
      <c r="F18" s="300">
        <f t="shared" ref="F18:F36" si="3">F17+1</f>
        <v>6</v>
      </c>
      <c r="G18" s="721"/>
      <c r="H18" s="694"/>
      <c r="I18" s="1815" t="s">
        <v>2569</v>
      </c>
      <c r="J18" s="1815"/>
      <c r="K18" s="1815"/>
      <c r="L18" s="1815"/>
      <c r="M18" s="695"/>
      <c r="N18" s="119"/>
      <c r="O18" s="435"/>
      <c r="P18" s="923"/>
      <c r="Q18" s="1335"/>
      <c r="R18" s="13"/>
      <c r="S18" s="13"/>
      <c r="T18" s="13"/>
      <c r="U18" s="13"/>
      <c r="V18" s="13"/>
      <c r="W18" s="13"/>
      <c r="X18" s="105"/>
      <c r="Y18" s="436"/>
      <c r="Z18" s="2"/>
      <c r="AF18" s="969"/>
    </row>
    <row r="19" spans="1:32" ht="20.25" customHeight="1">
      <c r="A19" s="303">
        <f t="shared" si="2"/>
        <v>0</v>
      </c>
      <c r="B19" s="299"/>
      <c r="C19" s="299"/>
      <c r="D19" s="299"/>
      <c r="E19" s="299"/>
      <c r="F19" s="300">
        <f t="shared" si="3"/>
        <v>7</v>
      </c>
      <c r="G19" s="721"/>
      <c r="H19" s="779"/>
      <c r="I19" s="1825" t="s">
        <v>2570</v>
      </c>
      <c r="J19" s="1825"/>
      <c r="K19" s="1825"/>
      <c r="L19" s="1825"/>
      <c r="M19" s="780"/>
      <c r="N19" s="117"/>
      <c r="O19" s="435"/>
      <c r="P19" s="244" t="s">
        <v>260</v>
      </c>
      <c r="Q19" s="244"/>
      <c r="R19" s="13"/>
      <c r="S19" s="13"/>
      <c r="T19" s="13"/>
      <c r="U19" s="13"/>
      <c r="V19" s="13"/>
      <c r="W19" s="13"/>
      <c r="X19" s="105"/>
      <c r="Y19" s="436"/>
      <c r="Z19" s="2"/>
      <c r="AF19" s="969"/>
    </row>
    <row r="20" spans="1:32" ht="20.25" customHeight="1">
      <c r="A20" s="303">
        <f t="shared" si="2"/>
        <v>0</v>
      </c>
      <c r="B20" s="2"/>
      <c r="C20" s="2"/>
      <c r="D20" s="2"/>
      <c r="E20" s="2"/>
      <c r="F20" s="300">
        <f t="shared" si="3"/>
        <v>8</v>
      </c>
      <c r="G20" s="281"/>
      <c r="H20" s="781"/>
      <c r="I20" s="1826" t="s">
        <v>117</v>
      </c>
      <c r="J20" s="1826"/>
      <c r="K20" s="1826"/>
      <c r="L20" s="1826"/>
      <c r="M20" s="782"/>
      <c r="N20" s="119"/>
      <c r="O20" s="435"/>
      <c r="P20" s="13"/>
      <c r="Q20" s="13"/>
      <c r="R20" s="13"/>
      <c r="S20" s="13"/>
      <c r="T20" s="252" t="s">
        <v>261</v>
      </c>
      <c r="U20" s="13"/>
      <c r="V20" s="13"/>
      <c r="W20" s="13"/>
      <c r="X20" s="105"/>
      <c r="Y20" s="436"/>
      <c r="Z20" s="2"/>
      <c r="AF20" s="969"/>
    </row>
    <row r="21" spans="1:32" ht="20.25" customHeight="1">
      <c r="A21" s="166">
        <f t="shared" si="2"/>
        <v>0</v>
      </c>
      <c r="B21" s="2"/>
      <c r="C21" s="2"/>
      <c r="D21" s="2"/>
      <c r="E21" s="2"/>
      <c r="F21" s="88">
        <f t="shared" si="3"/>
        <v>9</v>
      </c>
      <c r="G21" s="152"/>
      <c r="H21" s="777"/>
      <c r="I21" s="1816" t="s">
        <v>35</v>
      </c>
      <c r="J21" s="1816"/>
      <c r="K21" s="1816"/>
      <c r="L21" s="1816"/>
      <c r="M21" s="778"/>
      <c r="N21" s="119"/>
      <c r="O21" s="435"/>
      <c r="P21" s="13"/>
      <c r="Q21" s="13"/>
      <c r="R21" s="13"/>
      <c r="S21" s="13"/>
      <c r="T21" s="164" t="s">
        <v>262</v>
      </c>
      <c r="U21" s="13"/>
      <c r="V21" s="13"/>
      <c r="W21" s="13"/>
      <c r="X21" s="105"/>
      <c r="Y21" s="436"/>
      <c r="Z21" s="2"/>
      <c r="AF21" s="969"/>
    </row>
    <row r="22" spans="1:32" ht="20.25" customHeight="1">
      <c r="A22" s="166">
        <f t="shared" si="2"/>
        <v>0</v>
      </c>
      <c r="B22" s="2"/>
      <c r="C22" s="2"/>
      <c r="D22" s="2"/>
      <c r="E22" s="2"/>
      <c r="F22" s="88">
        <f t="shared" si="3"/>
        <v>10</v>
      </c>
      <c r="G22" s="152"/>
      <c r="H22" s="694"/>
      <c r="I22" s="1815" t="s">
        <v>2569</v>
      </c>
      <c r="J22" s="1815"/>
      <c r="K22" s="1815"/>
      <c r="L22" s="1815"/>
      <c r="M22" s="695"/>
      <c r="N22" s="119"/>
      <c r="O22" s="440"/>
      <c r="P22" s="13"/>
      <c r="Q22" s="13"/>
      <c r="R22" s="13"/>
      <c r="S22" s="245" t="s">
        <v>258</v>
      </c>
      <c r="T22" s="13"/>
      <c r="U22" s="13"/>
      <c r="V22" s="13"/>
      <c r="W22" s="13"/>
      <c r="X22" s="105"/>
      <c r="Y22" s="436"/>
      <c r="Z22" s="2"/>
      <c r="AF22" s="969"/>
    </row>
    <row r="23" spans="1:32" ht="20.25" customHeight="1">
      <c r="A23" s="166">
        <f t="shared" si="2"/>
        <v>0</v>
      </c>
      <c r="B23" s="2"/>
      <c r="C23" s="2"/>
      <c r="D23" s="2"/>
      <c r="E23" s="2"/>
      <c r="F23" s="88">
        <f t="shared" si="3"/>
        <v>11</v>
      </c>
      <c r="G23" s="230"/>
      <c r="H23" s="779"/>
      <c r="I23" s="1825" t="s">
        <v>2570</v>
      </c>
      <c r="J23" s="1825"/>
      <c r="K23" s="1825"/>
      <c r="L23" s="1825"/>
      <c r="M23" s="780"/>
      <c r="N23" s="119"/>
      <c r="O23" s="440"/>
      <c r="P23" s="13"/>
      <c r="Q23" s="13"/>
      <c r="R23" s="13"/>
      <c r="S23" s="13"/>
      <c r="T23" s="13"/>
      <c r="U23" s="13"/>
      <c r="V23" s="13"/>
      <c r="W23" s="13"/>
      <c r="X23" s="105"/>
      <c r="Y23" s="436"/>
      <c r="Z23" s="2"/>
      <c r="AF23" s="969"/>
    </row>
    <row r="24" spans="1:32" ht="20.25" customHeight="1">
      <c r="A24" s="166">
        <f t="shared" si="2"/>
        <v>0</v>
      </c>
      <c r="B24" s="2"/>
      <c r="C24" s="2"/>
      <c r="D24" s="2"/>
      <c r="E24" s="2"/>
      <c r="F24" s="238">
        <f t="shared" si="3"/>
        <v>12</v>
      </c>
      <c r="G24" s="152"/>
      <c r="H24" s="777"/>
      <c r="I24" s="1816" t="s">
        <v>259</v>
      </c>
      <c r="J24" s="1816"/>
      <c r="K24" s="1816"/>
      <c r="L24" s="1816"/>
      <c r="M24" s="778"/>
      <c r="N24" s="117"/>
      <c r="O24" s="441" t="s">
        <v>45</v>
      </c>
      <c r="P24" s="242" t="s">
        <v>46</v>
      </c>
      <c r="Q24" s="243" t="s">
        <v>48</v>
      </c>
      <c r="R24" s="243" t="s">
        <v>49</v>
      </c>
      <c r="S24" s="243" t="s">
        <v>47</v>
      </c>
      <c r="T24" s="243" t="s">
        <v>50</v>
      </c>
      <c r="U24" s="253" t="s">
        <v>51</v>
      </c>
      <c r="V24" s="253" t="s">
        <v>52</v>
      </c>
      <c r="W24" s="253" t="s">
        <v>53</v>
      </c>
      <c r="X24" s="253" t="s">
        <v>54</v>
      </c>
      <c r="Y24" s="436"/>
      <c r="Z24" s="2"/>
      <c r="AF24" s="969"/>
    </row>
    <row r="25" spans="1:32" ht="20.25" customHeight="1">
      <c r="A25" s="166">
        <f t="shared" si="2"/>
        <v>0</v>
      </c>
      <c r="B25" s="2"/>
      <c r="C25" s="2"/>
      <c r="D25" s="2"/>
      <c r="E25" s="2"/>
      <c r="F25" s="238">
        <f t="shared" si="3"/>
        <v>13</v>
      </c>
      <c r="G25" s="152"/>
      <c r="H25" s="694"/>
      <c r="I25" s="1815" t="s">
        <v>2569</v>
      </c>
      <c r="J25" s="1815"/>
      <c r="K25" s="1815"/>
      <c r="L25" s="1815"/>
      <c r="M25" s="695"/>
      <c r="N25" s="119"/>
      <c r="O25" s="442" t="e">
        <f>A7</f>
        <v>#N/A</v>
      </c>
      <c r="P25" s="242" t="str">
        <f>B7</f>
        <v/>
      </c>
      <c r="Q25" s="243">
        <f>G34</f>
        <v>0</v>
      </c>
      <c r="R25" s="243">
        <f>G36</f>
        <v>0</v>
      </c>
      <c r="S25" s="243">
        <f>G31</f>
        <v>0</v>
      </c>
      <c r="T25" s="243">
        <f>G33</f>
        <v>0</v>
      </c>
      <c r="U25" s="253">
        <f>G21</f>
        <v>0</v>
      </c>
      <c r="V25" s="253">
        <f>G23</f>
        <v>0</v>
      </c>
      <c r="W25" s="253">
        <f>G24</f>
        <v>0</v>
      </c>
      <c r="X25" s="253">
        <f>G26</f>
        <v>0</v>
      </c>
      <c r="Y25" s="436"/>
      <c r="Z25" s="2"/>
      <c r="AF25" s="969"/>
    </row>
    <row r="26" spans="1:32" ht="20.25" customHeight="1">
      <c r="A26" s="166">
        <f t="shared" si="2"/>
        <v>0</v>
      </c>
      <c r="B26" s="2"/>
      <c r="C26" s="2"/>
      <c r="D26" s="2"/>
      <c r="E26" s="2"/>
      <c r="F26" s="238">
        <f t="shared" si="3"/>
        <v>14</v>
      </c>
      <c r="G26" s="230"/>
      <c r="H26" s="779"/>
      <c r="I26" s="1825" t="s">
        <v>2570</v>
      </c>
      <c r="J26" s="1825"/>
      <c r="K26" s="1825"/>
      <c r="L26" s="1825"/>
      <c r="M26" s="780"/>
      <c r="N26" s="119"/>
      <c r="O26" s="435"/>
      <c r="P26" s="13"/>
      <c r="Q26" s="13"/>
      <c r="R26" s="13"/>
      <c r="S26" s="13"/>
      <c r="T26" s="13"/>
      <c r="U26" s="13"/>
      <c r="V26" s="13"/>
      <c r="W26" s="13"/>
      <c r="X26" s="105"/>
      <c r="Y26" s="436"/>
      <c r="Z26" s="2"/>
      <c r="AF26" s="969"/>
    </row>
    <row r="27" spans="1:32" ht="20.25" customHeight="1">
      <c r="A27" s="166">
        <f t="shared" si="2"/>
        <v>0</v>
      </c>
      <c r="B27" s="2"/>
      <c r="C27" s="2"/>
      <c r="D27" s="2"/>
      <c r="E27" s="2"/>
      <c r="F27" s="88">
        <f t="shared" si="3"/>
        <v>15</v>
      </c>
      <c r="G27" s="152"/>
      <c r="H27" s="781"/>
      <c r="I27" s="1826" t="s">
        <v>119</v>
      </c>
      <c r="J27" s="1826"/>
      <c r="K27" s="1826"/>
      <c r="L27" s="1826"/>
      <c r="M27" s="782"/>
      <c r="N27" s="117"/>
      <c r="O27" s="443"/>
      <c r="P27" s="165"/>
      <c r="Q27" s="165"/>
      <c r="R27" s="165"/>
      <c r="S27" s="240" t="s">
        <v>258</v>
      </c>
      <c r="T27" s="165"/>
      <c r="U27" s="165"/>
      <c r="V27" s="165"/>
      <c r="W27" s="165"/>
      <c r="X27" s="247"/>
      <c r="Y27" s="444"/>
      <c r="Z27" s="2"/>
      <c r="AF27" s="969"/>
    </row>
    <row r="28" spans="1:32" ht="20.25" customHeight="1" thickBot="1">
      <c r="A28" s="166">
        <f t="shared" si="2"/>
        <v>0</v>
      </c>
      <c r="B28" s="2"/>
      <c r="C28" s="2"/>
      <c r="D28" s="2"/>
      <c r="E28" s="2"/>
      <c r="F28" s="88">
        <f t="shared" si="3"/>
        <v>16</v>
      </c>
      <c r="G28" s="152"/>
      <c r="H28" s="777"/>
      <c r="I28" s="1816" t="s">
        <v>118</v>
      </c>
      <c r="J28" s="1816"/>
      <c r="K28" s="1816"/>
      <c r="L28" s="1816"/>
      <c r="M28" s="778"/>
      <c r="N28" s="119"/>
      <c r="O28" s="445"/>
      <c r="P28" s="446"/>
      <c r="Q28" s="446"/>
      <c r="R28" s="446"/>
      <c r="S28" s="446"/>
      <c r="T28" s="446"/>
      <c r="U28" s="446"/>
      <c r="V28" s="446"/>
      <c r="W28" s="446"/>
      <c r="X28" s="447"/>
      <c r="Y28" s="448"/>
      <c r="Z28" s="2"/>
      <c r="AF28" s="969"/>
    </row>
    <row r="29" spans="1:32" ht="20.25" customHeight="1">
      <c r="A29" s="166">
        <f t="shared" si="2"/>
        <v>0</v>
      </c>
      <c r="B29" s="2"/>
      <c r="C29" s="2"/>
      <c r="D29" s="2"/>
      <c r="E29" s="2"/>
      <c r="F29" s="88">
        <f t="shared" si="3"/>
        <v>17</v>
      </c>
      <c r="G29" s="152"/>
      <c r="H29" s="694"/>
      <c r="I29" s="1815" t="s">
        <v>2569</v>
      </c>
      <c r="J29" s="1815"/>
      <c r="K29" s="1815"/>
      <c r="L29" s="1815"/>
      <c r="M29" s="695"/>
      <c r="N29" s="117"/>
      <c r="O29" s="2"/>
      <c r="P29" s="2"/>
      <c r="Q29" s="2"/>
      <c r="R29" s="2"/>
      <c r="S29" s="2"/>
      <c r="T29" s="2"/>
      <c r="U29" s="2"/>
      <c r="V29" s="2"/>
      <c r="W29" s="2"/>
      <c r="X29" s="2"/>
      <c r="Y29" s="2"/>
      <c r="Z29" s="2"/>
      <c r="AF29" s="969"/>
    </row>
    <row r="30" spans="1:32" ht="20.25" customHeight="1">
      <c r="A30" s="166">
        <f t="shared" si="2"/>
        <v>0</v>
      </c>
      <c r="B30" s="2"/>
      <c r="C30" s="2"/>
      <c r="D30" s="2"/>
      <c r="E30" s="2"/>
      <c r="F30" s="88">
        <f t="shared" si="3"/>
        <v>18</v>
      </c>
      <c r="G30" s="152"/>
      <c r="H30" s="779"/>
      <c r="I30" s="1825" t="s">
        <v>2570</v>
      </c>
      <c r="J30" s="1825"/>
      <c r="K30" s="1825"/>
      <c r="L30" s="1825"/>
      <c r="M30" s="780"/>
      <c r="N30" s="119"/>
      <c r="O30" s="2"/>
      <c r="P30" s="2"/>
      <c r="Q30" s="2"/>
      <c r="R30" s="2"/>
      <c r="S30" s="2"/>
      <c r="T30" s="2"/>
      <c r="U30" s="2"/>
      <c r="V30" s="2"/>
      <c r="W30" s="2"/>
      <c r="X30" s="18"/>
      <c r="Y30" s="2"/>
      <c r="Z30" s="2"/>
      <c r="AF30" s="969"/>
    </row>
    <row r="31" spans="1:32" ht="20.25" customHeight="1">
      <c r="A31" s="166">
        <f t="shared" si="2"/>
        <v>0</v>
      </c>
      <c r="B31" s="2"/>
      <c r="C31" s="2"/>
      <c r="D31" s="2"/>
      <c r="E31" s="2"/>
      <c r="F31" s="88">
        <f t="shared" si="3"/>
        <v>19</v>
      </c>
      <c r="G31" s="152"/>
      <c r="H31" s="777"/>
      <c r="I31" s="1816" t="s">
        <v>2568</v>
      </c>
      <c r="J31" s="1816"/>
      <c r="K31" s="1816"/>
      <c r="L31" s="1816"/>
      <c r="M31" s="778"/>
      <c r="N31" s="117"/>
      <c r="O31" s="2"/>
      <c r="P31" s="2"/>
      <c r="Q31" s="2"/>
      <c r="R31" s="2"/>
      <c r="S31" s="2"/>
      <c r="T31" s="2"/>
      <c r="U31" s="2"/>
      <c r="V31" s="2"/>
      <c r="W31" s="2"/>
      <c r="X31" s="18"/>
      <c r="Y31" s="2"/>
      <c r="Z31" s="2"/>
      <c r="AF31" s="969"/>
    </row>
    <row r="32" spans="1:32" ht="20.25" customHeight="1">
      <c r="A32" s="166">
        <f t="shared" si="2"/>
        <v>0</v>
      </c>
      <c r="B32" s="2"/>
      <c r="C32" s="2"/>
      <c r="D32" s="2"/>
      <c r="E32" s="2"/>
      <c r="F32" s="88">
        <f t="shared" si="3"/>
        <v>20</v>
      </c>
      <c r="G32" s="152"/>
      <c r="H32" s="694"/>
      <c r="I32" s="1815" t="s">
        <v>2569</v>
      </c>
      <c r="J32" s="1815"/>
      <c r="K32" s="1815"/>
      <c r="L32" s="1815"/>
      <c r="M32" s="695"/>
      <c r="N32" s="119"/>
      <c r="O32" s="2"/>
      <c r="P32" s="2"/>
      <c r="Q32" s="2"/>
      <c r="R32" s="2"/>
      <c r="S32" s="2"/>
      <c r="T32" s="2"/>
      <c r="U32" s="2"/>
      <c r="V32" s="2"/>
      <c r="W32" s="2"/>
      <c r="X32" s="18"/>
      <c r="Y32" s="2"/>
      <c r="Z32" s="2"/>
      <c r="AF32" s="969"/>
    </row>
    <row r="33" spans="1:32" ht="20.25" customHeight="1">
      <c r="A33" s="166">
        <f t="shared" si="2"/>
        <v>0</v>
      </c>
      <c r="B33" s="2"/>
      <c r="C33" s="2"/>
      <c r="D33" s="2"/>
      <c r="E33" s="2"/>
      <c r="F33" s="88">
        <f t="shared" si="3"/>
        <v>21</v>
      </c>
      <c r="G33" s="152"/>
      <c r="H33" s="779"/>
      <c r="I33" s="1825" t="s">
        <v>2570</v>
      </c>
      <c r="J33" s="1825"/>
      <c r="K33" s="1825"/>
      <c r="L33" s="1825"/>
      <c r="M33" s="780"/>
      <c r="N33" s="117"/>
      <c r="O33" s="2"/>
      <c r="P33" s="2"/>
      <c r="Q33" s="2"/>
      <c r="R33" s="2"/>
      <c r="S33" s="2"/>
      <c r="T33" s="2"/>
      <c r="U33" s="2"/>
      <c r="V33" s="2"/>
      <c r="W33" s="2"/>
      <c r="X33" s="2"/>
      <c r="Y33" s="2"/>
      <c r="Z33" s="2"/>
      <c r="AF33" s="969"/>
    </row>
    <row r="34" spans="1:32" ht="20.25" customHeight="1">
      <c r="A34" s="166">
        <f t="shared" si="2"/>
        <v>0</v>
      </c>
      <c r="B34" s="2"/>
      <c r="C34" s="2"/>
      <c r="D34" s="2"/>
      <c r="E34" s="2"/>
      <c r="F34" s="88">
        <f t="shared" si="3"/>
        <v>22</v>
      </c>
      <c r="G34" s="152"/>
      <c r="H34" s="777"/>
      <c r="I34" s="1816" t="s">
        <v>190</v>
      </c>
      <c r="J34" s="1816"/>
      <c r="K34" s="1816"/>
      <c r="L34" s="1816"/>
      <c r="M34" s="778"/>
      <c r="N34" s="117"/>
      <c r="O34" s="2"/>
      <c r="P34" s="2"/>
      <c r="Q34" s="2"/>
      <c r="R34" s="2"/>
      <c r="S34" s="2"/>
      <c r="T34" s="2"/>
      <c r="U34" s="2"/>
      <c r="V34" s="2"/>
      <c r="W34" s="2"/>
      <c r="X34" s="2"/>
      <c r="Y34" s="2"/>
      <c r="Z34" s="2"/>
      <c r="AF34" s="969"/>
    </row>
    <row r="35" spans="1:32" ht="20.25" customHeight="1">
      <c r="A35" s="166">
        <f t="shared" si="2"/>
        <v>0</v>
      </c>
      <c r="B35" s="2"/>
      <c r="C35" s="2" t="s">
        <v>1446</v>
      </c>
      <c r="D35" s="2"/>
      <c r="E35" s="2"/>
      <c r="F35" s="88">
        <f t="shared" si="3"/>
        <v>23</v>
      </c>
      <c r="G35" s="152"/>
      <c r="H35" s="694"/>
      <c r="I35" s="1815" t="s">
        <v>2569</v>
      </c>
      <c r="J35" s="1815"/>
      <c r="K35" s="1815"/>
      <c r="L35" s="1815"/>
      <c r="M35" s="695"/>
      <c r="N35" s="117"/>
      <c r="O35" s="2"/>
      <c r="P35" s="2"/>
      <c r="Q35" s="2"/>
      <c r="R35" s="2"/>
      <c r="S35" s="2"/>
      <c r="T35" s="2"/>
      <c r="U35" s="2"/>
      <c r="V35" s="2"/>
      <c r="W35" s="2"/>
      <c r="X35" s="2"/>
      <c r="Y35" s="2"/>
      <c r="Z35" s="2"/>
      <c r="AF35" s="969"/>
    </row>
    <row r="36" spans="1:32" ht="20.25" customHeight="1">
      <c r="A36" s="166">
        <f t="shared" si="2"/>
        <v>0</v>
      </c>
      <c r="B36" s="318">
        <f>SUM(A17:A36)</f>
        <v>0</v>
      </c>
      <c r="C36" s="318" t="s">
        <v>831</v>
      </c>
      <c r="D36" s="2"/>
      <c r="E36" s="2"/>
      <c r="F36" s="88">
        <f t="shared" si="3"/>
        <v>24</v>
      </c>
      <c r="G36" s="152"/>
      <c r="H36" s="779"/>
      <c r="I36" s="1825" t="s">
        <v>2570</v>
      </c>
      <c r="J36" s="1825"/>
      <c r="K36" s="1825"/>
      <c r="L36" s="1825"/>
      <c r="M36" s="780"/>
      <c r="N36" s="117"/>
      <c r="O36" s="690"/>
      <c r="P36" s="690"/>
      <c r="Q36" s="690"/>
      <c r="R36" s="690"/>
      <c r="S36" s="690"/>
      <c r="T36" s="690"/>
      <c r="U36" s="690"/>
      <c r="V36" s="690"/>
      <c r="W36" s="690"/>
      <c r="X36" s="5"/>
      <c r="Y36" s="690"/>
      <c r="Z36" s="690"/>
      <c r="AF36" s="969"/>
    </row>
    <row r="37" spans="1:32" ht="20.25" customHeight="1">
      <c r="A37" s="1225"/>
      <c r="B37" s="18"/>
      <c r="C37" s="18"/>
      <c r="D37" s="18"/>
      <c r="E37" s="18"/>
      <c r="F37" s="317"/>
      <c r="G37" s="321" t="s">
        <v>1441</v>
      </c>
      <c r="H37" s="802"/>
      <c r="I37" s="803"/>
      <c r="J37" s="804"/>
      <c r="K37" s="804"/>
      <c r="L37" s="804"/>
      <c r="M37" s="805"/>
      <c r="N37" s="117"/>
      <c r="O37" s="2"/>
      <c r="P37" s="2"/>
      <c r="Q37" s="2"/>
      <c r="R37" s="2"/>
      <c r="S37" s="2"/>
      <c r="T37" s="2"/>
      <c r="U37" s="2"/>
      <c r="V37" s="2"/>
      <c r="W37" s="2"/>
      <c r="X37" s="2"/>
      <c r="Y37" s="2"/>
      <c r="Z37" s="2"/>
      <c r="AF37" s="969"/>
    </row>
    <row r="38" spans="1:32" ht="114.75" customHeight="1">
      <c r="A38" s="257">
        <f>IF(G38="",0,1)</f>
        <v>0</v>
      </c>
      <c r="B38" s="18"/>
      <c r="C38" s="18"/>
      <c r="D38" s="18"/>
      <c r="E38" s="18"/>
      <c r="F38" s="1267">
        <f>F36+1</f>
        <v>25</v>
      </c>
      <c r="G38" s="559"/>
      <c r="H38" s="1268"/>
      <c r="I38" s="1834" t="s">
        <v>1508</v>
      </c>
      <c r="J38" s="1834"/>
      <c r="K38" s="1834"/>
      <c r="L38" s="1834"/>
      <c r="M38" s="1834"/>
      <c r="N38" s="117"/>
      <c r="O38" s="2"/>
      <c r="P38" s="2"/>
      <c r="Q38" s="2"/>
      <c r="R38" s="2"/>
      <c r="S38" s="2"/>
      <c r="T38" s="277"/>
      <c r="U38" s="2"/>
      <c r="V38" s="2"/>
      <c r="W38" s="2"/>
      <c r="X38" s="2"/>
      <c r="Y38" s="2"/>
      <c r="Z38" s="2"/>
      <c r="AF38" s="969"/>
    </row>
    <row r="39" spans="1:32" ht="32.25" customHeight="1">
      <c r="A39" s="1225"/>
      <c r="B39" s="18"/>
      <c r="C39" s="18"/>
      <c r="D39" s="18"/>
      <c r="E39" s="18"/>
      <c r="F39" s="1273"/>
      <c r="G39" s="1822" t="s">
        <v>1443</v>
      </c>
      <c r="H39" s="1823"/>
      <c r="I39" s="1823"/>
      <c r="J39" s="1823"/>
      <c r="K39" s="1823"/>
      <c r="L39" s="1823"/>
      <c r="M39" s="1824"/>
      <c r="N39" s="117"/>
      <c r="O39" s="2"/>
      <c r="P39" s="2" t="str">
        <f>'3A.Occpcy&amp;Rent'!AL13</f>
        <v>Unit Type</v>
      </c>
      <c r="Q39" s="2"/>
      <c r="R39" s="2"/>
      <c r="S39" s="2"/>
      <c r="T39" s="277"/>
      <c r="U39" s="2"/>
      <c r="V39" s="2"/>
      <c r="W39" s="2"/>
      <c r="X39" s="2"/>
      <c r="Y39" s="2"/>
      <c r="Z39" s="2"/>
      <c r="AF39" s="969"/>
    </row>
    <row r="40" spans="1:32" ht="105.6" customHeight="1">
      <c r="A40" s="690"/>
      <c r="B40" s="690"/>
      <c r="C40" s="690"/>
      <c r="D40" s="690"/>
      <c r="F40" s="1274"/>
      <c r="G40" s="1275" t="s">
        <v>534</v>
      </c>
      <c r="H40" s="1276"/>
      <c r="I40" s="1277" t="s">
        <v>533</v>
      </c>
      <c r="J40" s="1277" t="s">
        <v>565</v>
      </c>
      <c r="K40" s="1277" t="s">
        <v>566</v>
      </c>
      <c r="L40" s="1842" t="s">
        <v>540</v>
      </c>
      <c r="M40" s="1843"/>
      <c r="N40" s="117"/>
      <c r="O40" s="2"/>
      <c r="P40" s="2" t="str">
        <f>'3A.Occpcy&amp;Rent'!AL14</f>
        <v>Bed</v>
      </c>
      <c r="Q40" s="304" t="str">
        <f>J40</f>
        <v>Occupancy Standard: Minimum 
HH Size for this Unit Type*</v>
      </c>
      <c r="R40" s="304" t="str">
        <f>K40</f>
        <v>Occupancy Standard: Maximum 
HH Size for this Unit Type*</v>
      </c>
      <c r="S40" s="2"/>
      <c r="T40" s="2"/>
      <c r="U40" s="2"/>
      <c r="V40" s="2"/>
      <c r="W40" s="2"/>
      <c r="X40" s="2"/>
      <c r="Y40" s="2"/>
      <c r="Z40" s="2"/>
      <c r="AF40" s="969"/>
    </row>
    <row r="41" spans="1:32" ht="24.75" customHeight="1">
      <c r="A41" s="257">
        <f>IF(OR(AND($G$38="no",I41&gt;0,J41&gt;0,K41&gt;0),AND($G$38="no",I41=0,J41=1,K41=0)),1,IF(AND($G$38="yes",I41="",J41=1,K41=""),1,0))</f>
        <v>0</v>
      </c>
      <c r="B41" s="2"/>
      <c r="C41" s="2"/>
      <c r="F41" s="1278">
        <f>F38+1</f>
        <v>26</v>
      </c>
      <c r="G41" s="1279" t="s">
        <v>532</v>
      </c>
      <c r="H41" s="1280"/>
      <c r="I41" s="152"/>
      <c r="J41" s="611">
        <v>1</v>
      </c>
      <c r="K41" s="573"/>
      <c r="L41" s="1813" t="str">
        <f>IF(AND($G$38="no",I41&gt;0,K41&lt;=0),"Enter Max Occupancy","")</f>
        <v/>
      </c>
      <c r="M41" s="1814"/>
      <c r="N41" s="117"/>
      <c r="O41" s="2"/>
      <c r="P41" s="2" t="str">
        <f>'3A.Occpcy&amp;Rent'!AL15</f>
        <v>SRO</v>
      </c>
      <c r="Q41" s="304">
        <f t="shared" ref="Q41:Q47" si="4">J41</f>
        <v>1</v>
      </c>
      <c r="R41" s="304">
        <f t="shared" ref="R41:R47" si="5">K41</f>
        <v>0</v>
      </c>
      <c r="S41" s="2"/>
      <c r="T41" s="2"/>
      <c r="U41" s="2"/>
      <c r="V41" s="2"/>
      <c r="W41" s="2"/>
      <c r="X41" s="2"/>
      <c r="Y41" s="2"/>
      <c r="Z41" s="2"/>
      <c r="AF41" s="969"/>
    </row>
    <row r="42" spans="1:32" ht="24.75" customHeight="1">
      <c r="A42" s="257">
        <f>IF(OR(AND($G$38="no",I42&gt;0,J42&gt;0,K42&gt;0),AND($G$38="no",I42=0,J42=1,K42=0)),1,IF(AND($G$38="yes",I42="",J42=1,K42=""),1,0))</f>
        <v>0</v>
      </c>
      <c r="B42" s="2"/>
      <c r="C42" s="2"/>
      <c r="D42" s="2"/>
      <c r="E42" s="2"/>
      <c r="F42" s="1267">
        <f t="shared" ref="F42:F61" si="6">F41+1</f>
        <v>27</v>
      </c>
      <c r="G42" s="1281" t="s">
        <v>557</v>
      </c>
      <c r="H42" s="1282"/>
      <c r="I42" s="152"/>
      <c r="J42" s="611">
        <v>1</v>
      </c>
      <c r="K42" s="573"/>
      <c r="L42" s="1813" t="str">
        <f>IF(AND($G$38="no",I42&gt;0,K42&lt;=0),"Enter Max Occupancy","")</f>
        <v/>
      </c>
      <c r="M42" s="1814"/>
      <c r="N42" s="117"/>
      <c r="O42" s="2"/>
      <c r="P42" s="2" t="str">
        <f>'3A.Occpcy&amp;Rent'!AL16</f>
        <v>Studio</v>
      </c>
      <c r="Q42" s="304">
        <f t="shared" si="4"/>
        <v>1</v>
      </c>
      <c r="R42" s="304">
        <f t="shared" si="5"/>
        <v>0</v>
      </c>
      <c r="S42" s="2"/>
      <c r="T42" s="2"/>
      <c r="U42" s="2"/>
      <c r="V42" s="2"/>
      <c r="W42" s="2"/>
      <c r="X42" s="2"/>
      <c r="Y42" s="2"/>
      <c r="Z42" s="2"/>
      <c r="AF42" s="969"/>
    </row>
    <row r="43" spans="1:32" ht="24.75" customHeight="1">
      <c r="A43" s="257">
        <f>IF(OR(AND($G$38="no",I43&gt;0,J43&gt;0,K43&gt;0),AND($G$38="no",I43=0,J43=1,K43=0)),1,IF(AND($G$38="yes",I43="",J43=1,K43=""),1,0))</f>
        <v>0</v>
      </c>
      <c r="B43" s="2"/>
      <c r="C43" s="2"/>
      <c r="D43" s="2"/>
      <c r="E43" s="2"/>
      <c r="F43" s="1267">
        <f t="shared" si="6"/>
        <v>28</v>
      </c>
      <c r="G43" s="1281" t="s">
        <v>561</v>
      </c>
      <c r="H43" s="1283"/>
      <c r="I43" s="152"/>
      <c r="J43" s="611">
        <v>1</v>
      </c>
      <c r="K43" s="573"/>
      <c r="L43" s="1813" t="str">
        <f>IF(AND($G$38="no",I43&gt;0,K43&lt;=0),"Enter Max Occupancy","")</f>
        <v/>
      </c>
      <c r="M43" s="1814"/>
      <c r="N43" s="117"/>
      <c r="O43" s="2"/>
      <c r="P43" s="2" t="str">
        <f>'3A.Occpcy&amp;Rent'!AL17</f>
        <v>1BR</v>
      </c>
      <c r="Q43" s="304">
        <f t="shared" si="4"/>
        <v>1</v>
      </c>
      <c r="R43" s="304">
        <f t="shared" si="5"/>
        <v>0</v>
      </c>
      <c r="S43" s="2"/>
      <c r="T43" s="2"/>
      <c r="U43" s="2"/>
      <c r="V43" s="2"/>
      <c r="W43" s="2"/>
      <c r="X43" s="2"/>
      <c r="Y43" s="2"/>
      <c r="Z43" s="2"/>
      <c r="AF43" s="969"/>
    </row>
    <row r="44" spans="1:32" ht="24.75" customHeight="1">
      <c r="A44" s="257">
        <f>IF(OR(AND($G$38="no",I44&gt;0,J44&gt;0,K44&gt;0),AND($G$38="no",I44=0,J44=0,K44=0)),1,IF(AND($G$38="yes",I44="",J44="",K44=""),1,0))</f>
        <v>0</v>
      </c>
      <c r="B44" s="2"/>
      <c r="C44" s="2"/>
      <c r="D44" s="2"/>
      <c r="E44" s="2"/>
      <c r="F44" s="1267">
        <f t="shared" si="6"/>
        <v>29</v>
      </c>
      <c r="G44" s="1281" t="s">
        <v>560</v>
      </c>
      <c r="H44" s="1283"/>
      <c r="I44" s="152"/>
      <c r="J44" s="573"/>
      <c r="K44" s="573"/>
      <c r="L44" s="1813" t="str">
        <f>IF(OR(AND($G$38="no",I44&gt;0,K44&lt;=0),AND($G$38="no",I44&gt;0,J44&lt;=0)),"Enter Min/Max Occupancy","")</f>
        <v/>
      </c>
      <c r="M44" s="1814"/>
      <c r="N44" s="117"/>
      <c r="O44" s="2"/>
      <c r="P44" s="2" t="str">
        <f>'3A.Occpcy&amp;Rent'!AL18</f>
        <v>2BR</v>
      </c>
      <c r="Q44" s="304">
        <f t="shared" si="4"/>
        <v>0</v>
      </c>
      <c r="R44" s="304">
        <f t="shared" si="5"/>
        <v>0</v>
      </c>
      <c r="S44" s="2"/>
      <c r="T44" s="2"/>
      <c r="U44" s="2"/>
      <c r="V44" s="2"/>
      <c r="W44" s="2"/>
      <c r="X44" s="2"/>
      <c r="Y44" s="2"/>
      <c r="Z44" s="2"/>
      <c r="AF44" s="969"/>
    </row>
    <row r="45" spans="1:32" ht="24.75" customHeight="1">
      <c r="A45" s="257">
        <f>IF(OR(AND($G$38="no",I45&gt;0,J45&gt;0,K45&gt;0),AND($G$38="no",I45=0,J45=0,K45=0)),1,IF(AND($G$38="yes",I45="",J45="",K45=""),1,0))</f>
        <v>0</v>
      </c>
      <c r="B45" s="2"/>
      <c r="C45" s="2"/>
      <c r="D45" s="2"/>
      <c r="E45" s="2"/>
      <c r="F45" s="1267">
        <f t="shared" si="6"/>
        <v>30</v>
      </c>
      <c r="G45" s="1281" t="s">
        <v>559</v>
      </c>
      <c r="H45" s="1283"/>
      <c r="I45" s="152"/>
      <c r="J45" s="573"/>
      <c r="K45" s="573"/>
      <c r="L45" s="1813" t="str">
        <f>IF(OR(AND($G$38="no",I45&gt;0,K45&lt;=0),AND($G$38="no",I45&gt;0,J45&lt;=0)),"Enter Min/Max Occupancy","")</f>
        <v/>
      </c>
      <c r="M45" s="1814"/>
      <c r="N45" s="117"/>
      <c r="O45" s="2"/>
      <c r="P45" s="2" t="str">
        <f>'3A.Occpcy&amp;Rent'!AL19</f>
        <v>3BR</v>
      </c>
      <c r="Q45" s="304">
        <f t="shared" si="4"/>
        <v>0</v>
      </c>
      <c r="R45" s="304">
        <f t="shared" si="5"/>
        <v>0</v>
      </c>
      <c r="S45" s="2"/>
      <c r="T45" s="2"/>
      <c r="U45" s="2"/>
      <c r="V45" s="2"/>
      <c r="W45" s="2"/>
      <c r="X45" s="18"/>
      <c r="Y45" s="2"/>
      <c r="Z45" s="2"/>
      <c r="AF45" s="969"/>
    </row>
    <row r="46" spans="1:32" ht="24.75" customHeight="1">
      <c r="A46" s="257">
        <f>IF(OR(AND($G$38="no",I46&gt;0,J46&gt;0,K46&gt;0),AND($G$38="no",I46=0,J46=0,K46=0)),1,IF(AND($G$38="yes",I46="",J46="",K46=""),1,0))</f>
        <v>0</v>
      </c>
      <c r="B46" s="2"/>
      <c r="C46" s="2"/>
      <c r="D46" s="2"/>
      <c r="E46" s="2"/>
      <c r="F46" s="1267">
        <f t="shared" si="6"/>
        <v>31</v>
      </c>
      <c r="G46" s="1281" t="s">
        <v>558</v>
      </c>
      <c r="H46" s="1284"/>
      <c r="I46" s="152"/>
      <c r="J46" s="573"/>
      <c r="K46" s="573"/>
      <c r="L46" s="1813" t="str">
        <f>IF(OR(AND($G$38="no",I46&gt;0,K46&lt;=0),AND($G$38="no",I46&gt;0,J46&lt;=0)),"Enter Min/Max Occupancy","")</f>
        <v/>
      </c>
      <c r="M46" s="1814"/>
      <c r="N46" s="117"/>
      <c r="O46" s="2"/>
      <c r="P46" s="2" t="str">
        <f>'3A.Occpcy&amp;Rent'!AL20</f>
        <v>4BR</v>
      </c>
      <c r="Q46" s="304">
        <f t="shared" si="4"/>
        <v>0</v>
      </c>
      <c r="R46" s="304">
        <f t="shared" si="5"/>
        <v>0</v>
      </c>
      <c r="S46" s="2"/>
      <c r="T46" s="2"/>
      <c r="U46" s="2"/>
      <c r="V46" s="2"/>
      <c r="W46" s="2"/>
      <c r="X46" s="18"/>
      <c r="Y46" s="2"/>
      <c r="Z46" s="2"/>
      <c r="AF46" s="969"/>
    </row>
    <row r="47" spans="1:32" ht="24.75" customHeight="1">
      <c r="A47" s="257">
        <f>IF(OR(AND($G$38="no",I47&gt;0,J47&gt;0,K47&gt;0),AND($G$38="no",I47=0,J47=0,K47=0)),1,IF(AND($G$38="yes",I47="",J47="",K47=""),1,0))</f>
        <v>0</v>
      </c>
      <c r="B47" s="2"/>
      <c r="C47" s="2"/>
      <c r="D47" s="2"/>
      <c r="E47" s="2"/>
      <c r="F47" s="1267">
        <f t="shared" si="6"/>
        <v>32</v>
      </c>
      <c r="G47" s="1281" t="s">
        <v>562</v>
      </c>
      <c r="H47" s="1284"/>
      <c r="I47" s="152"/>
      <c r="J47" s="573"/>
      <c r="K47" s="573"/>
      <c r="L47" s="1813" t="str">
        <f>IF(OR(AND($G$38="no",I47&gt;0,K47&lt;=0),AND($G$38="no",I47&gt;0,J47&lt;=0)),"Enter Min/Max Occupancy","")</f>
        <v/>
      </c>
      <c r="M47" s="1814"/>
      <c r="N47" s="117"/>
      <c r="O47" s="2"/>
      <c r="P47" s="2" t="str">
        <f>'3A.Occpcy&amp;Rent'!AL21</f>
        <v>5+BR</v>
      </c>
      <c r="Q47" s="304">
        <f t="shared" si="4"/>
        <v>0</v>
      </c>
      <c r="R47" s="304">
        <f t="shared" si="5"/>
        <v>0</v>
      </c>
      <c r="S47" s="2"/>
      <c r="T47" s="2"/>
      <c r="U47" s="2"/>
      <c r="V47" s="2"/>
      <c r="W47" s="2"/>
      <c r="X47" s="18"/>
      <c r="Y47" s="2"/>
      <c r="Z47" s="2"/>
      <c r="AF47" s="969"/>
    </row>
    <row r="48" spans="1:32" ht="24.75" customHeight="1">
      <c r="A48" s="2"/>
      <c r="B48" s="2"/>
      <c r="C48" s="2"/>
      <c r="D48" s="304"/>
      <c r="F48" s="1267">
        <f t="shared" si="6"/>
        <v>33</v>
      </c>
      <c r="G48" s="1852" t="s">
        <v>678</v>
      </c>
      <c r="H48" s="1853"/>
      <c r="I48" s="1285">
        <f>SUM(I41:I47)</f>
        <v>0</v>
      </c>
      <c r="J48" s="1286"/>
      <c r="K48" s="1286"/>
      <c r="L48" s="1286"/>
      <c r="M48" s="1287"/>
      <c r="N48" s="129"/>
      <c r="O48" s="2"/>
      <c r="P48" s="2"/>
      <c r="Q48" s="2"/>
      <c r="R48" s="2"/>
      <c r="S48" s="2"/>
      <c r="T48" s="2"/>
      <c r="U48" s="2"/>
      <c r="V48" s="2"/>
      <c r="W48" s="2"/>
      <c r="X48" s="18"/>
      <c r="Y48" s="2"/>
      <c r="Z48" s="2"/>
      <c r="AF48" s="969"/>
    </row>
    <row r="49" spans="1:32" ht="87" customHeight="1">
      <c r="A49" s="257">
        <f>IF(AND(G49="",$G$38="yes"),1,IF(AND($G$38="no",G49&lt;&gt;""),1,0))</f>
        <v>0</v>
      </c>
      <c r="B49" s="2"/>
      <c r="C49" s="2"/>
      <c r="D49" s="2"/>
      <c r="E49" s="305"/>
      <c r="F49" s="1315">
        <f t="shared" si="6"/>
        <v>34</v>
      </c>
      <c r="G49" s="152"/>
      <c r="H49" s="322"/>
      <c r="I49" s="1815" t="s">
        <v>1322</v>
      </c>
      <c r="J49" s="1815"/>
      <c r="K49" s="1815"/>
      <c r="L49" s="1815"/>
      <c r="M49" s="1269"/>
      <c r="N49" s="129"/>
      <c r="O49" s="2"/>
      <c r="P49" s="2"/>
      <c r="Q49" s="2"/>
      <c r="R49" s="2"/>
      <c r="S49" s="2"/>
      <c r="T49" s="2"/>
      <c r="U49" s="2"/>
      <c r="V49" s="2"/>
      <c r="W49" s="2"/>
      <c r="X49" s="18"/>
      <c r="Y49" s="2"/>
      <c r="Z49" s="2"/>
      <c r="AF49" s="969"/>
    </row>
    <row r="50" spans="1:32" ht="116.25" customHeight="1">
      <c r="A50" s="257">
        <f t="shared" ref="A50" si="7">IF(G50="",0,1)</f>
        <v>1</v>
      </c>
      <c r="B50" s="2"/>
      <c r="C50" s="2"/>
      <c r="D50" s="2"/>
      <c r="E50" s="305"/>
      <c r="F50" s="1315">
        <f t="shared" si="6"/>
        <v>35</v>
      </c>
      <c r="G50" s="651">
        <f>'1C.Eviction'!$E$73</f>
        <v>0</v>
      </c>
      <c r="H50" s="323"/>
      <c r="I50" s="1816" t="s">
        <v>774</v>
      </c>
      <c r="J50" s="1816"/>
      <c r="K50" s="1816"/>
      <c r="L50" s="1816"/>
      <c r="M50" s="1270"/>
      <c r="N50" s="129"/>
      <c r="O50" s="2"/>
      <c r="P50" s="2"/>
      <c r="Q50" s="2"/>
      <c r="R50" s="2"/>
      <c r="S50" s="2"/>
      <c r="T50" s="2"/>
      <c r="U50" s="2"/>
      <c r="V50" s="2"/>
      <c r="W50" s="2"/>
      <c r="X50" s="18"/>
      <c r="Y50" s="2"/>
      <c r="Z50" s="2"/>
      <c r="AF50" s="969"/>
    </row>
    <row r="51" spans="1:32" ht="130.5" customHeight="1">
      <c r="A51" s="257">
        <f>IF(AND(G51="",$G$38="yes"),1,IF(AND($G$38="no",G51&lt;&gt;""),1,0))</f>
        <v>0</v>
      </c>
      <c r="B51" s="2"/>
      <c r="C51" s="2"/>
      <c r="D51" s="2"/>
      <c r="E51" s="305"/>
      <c r="F51" s="1315">
        <f t="shared" si="6"/>
        <v>36</v>
      </c>
      <c r="G51" s="152"/>
      <c r="H51" s="460" t="s">
        <v>55</v>
      </c>
      <c r="I51" s="1815" t="s">
        <v>680</v>
      </c>
      <c r="J51" s="1815"/>
      <c r="K51" s="1815"/>
      <c r="L51" s="1815"/>
      <c r="M51" s="1271"/>
      <c r="N51" s="129"/>
      <c r="O51" s="2"/>
      <c r="P51" s="2"/>
      <c r="Q51" s="2"/>
      <c r="R51" s="2"/>
      <c r="S51" s="2"/>
      <c r="T51" s="2"/>
      <c r="U51" s="2"/>
      <c r="V51" s="2"/>
      <c r="W51" s="2"/>
      <c r="X51" s="18"/>
      <c r="Y51" s="2"/>
      <c r="Z51" s="2"/>
      <c r="AF51" s="969"/>
    </row>
    <row r="52" spans="1:32" ht="63" customHeight="1">
      <c r="A52" s="257">
        <f>IF(AND(G52="",$G$38="yes"),1,IF(AND($G$38="no",G52&lt;&gt;""),1,0))</f>
        <v>0</v>
      </c>
      <c r="B52" s="2"/>
      <c r="C52" s="2"/>
      <c r="D52" s="2"/>
      <c r="E52" s="305"/>
      <c r="F52" s="1315">
        <f t="shared" si="6"/>
        <v>37</v>
      </c>
      <c r="G52" s="152"/>
      <c r="H52" s="324"/>
      <c r="I52" s="1815" t="s">
        <v>2571</v>
      </c>
      <c r="J52" s="1815"/>
      <c r="K52" s="1815"/>
      <c r="L52" s="1815"/>
      <c r="M52" s="1271"/>
      <c r="N52" s="129"/>
      <c r="O52" s="2"/>
      <c r="P52" s="2"/>
      <c r="Q52" s="2"/>
      <c r="R52" s="2"/>
      <c r="S52" s="2"/>
      <c r="T52" s="2"/>
      <c r="U52" s="2"/>
      <c r="V52" s="2"/>
      <c r="W52" s="2"/>
      <c r="X52" s="18"/>
      <c r="Y52" s="2"/>
      <c r="Z52" s="2"/>
      <c r="AF52" s="969"/>
    </row>
    <row r="53" spans="1:32" ht="39" customHeight="1">
      <c r="A53" s="257">
        <f>IF(AND(G53="",$G$38="yes"),1,IF(AND($G$38="no",G53&lt;&gt;""),1,0))</f>
        <v>0</v>
      </c>
      <c r="B53" s="2"/>
      <c r="C53" s="2" t="s">
        <v>1446</v>
      </c>
      <c r="D53" s="2"/>
      <c r="E53" s="305"/>
      <c r="F53" s="1315">
        <f t="shared" si="6"/>
        <v>38</v>
      </c>
      <c r="G53" s="393"/>
      <c r="H53" s="325"/>
      <c r="I53" s="1819" t="s">
        <v>372</v>
      </c>
      <c r="J53" s="1820"/>
      <c r="K53" s="1820"/>
      <c r="L53" s="1820"/>
      <c r="M53" s="1272"/>
      <c r="N53" s="129"/>
      <c r="O53" s="2"/>
      <c r="P53" s="2"/>
      <c r="Q53" s="2"/>
      <c r="R53" s="2"/>
      <c r="S53" s="2"/>
      <c r="T53" s="2"/>
      <c r="U53" s="2"/>
      <c r="V53" s="2"/>
      <c r="W53" s="2"/>
      <c r="X53" s="18"/>
      <c r="Y53" s="2"/>
      <c r="Z53" s="2"/>
      <c r="AF53" s="969"/>
    </row>
    <row r="54" spans="1:32" ht="105" customHeight="1">
      <c r="A54" s="257">
        <f>IF(AND(G54="",$G$38="yes"),1,IF(AND($G$38="no",G54&lt;&gt;""),1,0))</f>
        <v>0</v>
      </c>
      <c r="B54" s="254">
        <f>SUM(A38,A41:A47,A49:A54)</f>
        <v>1</v>
      </c>
      <c r="C54" s="1288" t="s">
        <v>1445</v>
      </c>
      <c r="D54" s="2"/>
      <c r="E54" s="305"/>
      <c r="F54" s="1315">
        <f t="shared" si="6"/>
        <v>39</v>
      </c>
      <c r="G54" s="152"/>
      <c r="H54" s="552" t="s">
        <v>124</v>
      </c>
      <c r="I54" s="1815" t="s">
        <v>681</v>
      </c>
      <c r="J54" s="1815"/>
      <c r="K54" s="1815"/>
      <c r="L54" s="1815"/>
      <c r="M54" s="1272"/>
      <c r="N54" s="117"/>
      <c r="O54" s="1230"/>
      <c r="P54" s="1230"/>
      <c r="Q54" s="1230"/>
      <c r="R54" s="1230"/>
      <c r="S54" s="1230"/>
      <c r="T54" s="1230"/>
      <c r="U54" s="1230"/>
      <c r="V54" s="1230"/>
      <c r="W54" s="1230"/>
      <c r="X54" s="5"/>
      <c r="Y54" s="1230"/>
      <c r="Z54" s="1230"/>
      <c r="AF54" s="969"/>
    </row>
    <row r="55" spans="1:32" ht="46.5" customHeight="1">
      <c r="A55" s="387">
        <f t="shared" ref="A55:A61" si="8">IF(G55="",0,1)</f>
        <v>0</v>
      </c>
      <c r="B55" s="2"/>
      <c r="C55" s="2"/>
      <c r="D55" s="2"/>
      <c r="E55" s="2"/>
      <c r="F55" s="88">
        <f t="shared" si="6"/>
        <v>40</v>
      </c>
      <c r="G55" s="151"/>
      <c r="H55" s="93"/>
      <c r="I55" s="1819" t="s">
        <v>255</v>
      </c>
      <c r="J55" s="1820"/>
      <c r="K55" s="1820"/>
      <c r="L55" s="1820"/>
      <c r="M55" s="94"/>
      <c r="N55" s="117"/>
      <c r="O55" s="2"/>
      <c r="P55" s="2"/>
      <c r="Q55" s="2"/>
      <c r="R55" s="2"/>
      <c r="S55" s="2"/>
      <c r="T55" s="2"/>
      <c r="U55" s="2"/>
      <c r="V55" s="2"/>
      <c r="W55" s="2"/>
      <c r="X55" s="18"/>
      <c r="Y55" s="2"/>
      <c r="Z55" s="2"/>
      <c r="AF55" s="969"/>
    </row>
    <row r="56" spans="1:32" ht="46.5" customHeight="1">
      <c r="A56" s="387">
        <f t="shared" si="8"/>
        <v>0</v>
      </c>
      <c r="B56" s="2"/>
      <c r="C56" s="2"/>
      <c r="D56" s="2"/>
      <c r="E56" s="2"/>
      <c r="F56" s="88">
        <f t="shared" si="6"/>
        <v>41</v>
      </c>
      <c r="G56" s="151"/>
      <c r="H56" s="26"/>
      <c r="I56" s="1819" t="s">
        <v>256</v>
      </c>
      <c r="J56" s="1820"/>
      <c r="K56" s="1820"/>
      <c r="L56" s="1820"/>
      <c r="M56" s="94"/>
      <c r="N56" s="117"/>
      <c r="O56" s="2"/>
      <c r="P56" s="2"/>
      <c r="Q56" s="2"/>
      <c r="R56" s="2"/>
      <c r="S56" s="2"/>
      <c r="T56" s="2"/>
      <c r="U56" s="2"/>
      <c r="V56" s="2"/>
      <c r="W56" s="2"/>
      <c r="X56" s="18"/>
      <c r="Y56" s="2"/>
      <c r="Z56" s="2"/>
      <c r="AF56" s="969"/>
    </row>
    <row r="57" spans="1:32" ht="156.75" customHeight="1">
      <c r="A57" s="387">
        <f t="shared" si="8"/>
        <v>0</v>
      </c>
      <c r="B57" s="2"/>
      <c r="C57" s="2"/>
      <c r="D57" s="2"/>
      <c r="E57" s="2"/>
      <c r="F57" s="88">
        <f t="shared" si="6"/>
        <v>42</v>
      </c>
      <c r="G57" s="152"/>
      <c r="H57" s="454" t="s">
        <v>787</v>
      </c>
      <c r="I57" s="1819" t="s">
        <v>790</v>
      </c>
      <c r="J57" s="1820"/>
      <c r="K57" s="1820"/>
      <c r="L57" s="1820"/>
      <c r="M57" s="94"/>
      <c r="N57" s="117"/>
      <c r="O57" s="2"/>
      <c r="P57" s="2"/>
      <c r="Q57" s="2"/>
      <c r="R57" s="2"/>
      <c r="S57" s="2"/>
      <c r="T57" s="2"/>
      <c r="U57" s="2"/>
      <c r="V57" s="2"/>
      <c r="W57" s="2"/>
      <c r="X57" s="18"/>
      <c r="Y57" s="2"/>
      <c r="Z57" s="2"/>
      <c r="AF57" s="969"/>
    </row>
    <row r="58" spans="1:32" ht="51.75" customHeight="1">
      <c r="A58" s="387">
        <f t="shared" si="8"/>
        <v>0</v>
      </c>
      <c r="B58" s="2"/>
      <c r="C58" s="2"/>
      <c r="D58" s="2"/>
      <c r="E58" s="2"/>
      <c r="F58" s="88">
        <f t="shared" si="6"/>
        <v>43</v>
      </c>
      <c r="G58" s="152"/>
      <c r="H58" s="26"/>
      <c r="I58" s="1819" t="s">
        <v>36</v>
      </c>
      <c r="J58" s="1820"/>
      <c r="K58" s="1820"/>
      <c r="L58" s="1820"/>
      <c r="M58" s="94"/>
      <c r="N58" s="117"/>
      <c r="O58" s="2"/>
      <c r="P58" s="2"/>
      <c r="Q58" s="2"/>
      <c r="R58" s="2"/>
      <c r="S58" s="2"/>
      <c r="T58" s="2"/>
      <c r="U58" s="2"/>
      <c r="V58" s="2"/>
      <c r="W58" s="2"/>
      <c r="X58" s="18"/>
      <c r="Y58" s="2"/>
      <c r="Z58" s="2"/>
      <c r="AF58" s="969"/>
    </row>
    <row r="59" spans="1:32" ht="48" customHeight="1">
      <c r="A59" s="387">
        <f t="shared" si="8"/>
        <v>0</v>
      </c>
      <c r="B59" s="2"/>
      <c r="C59" s="2"/>
      <c r="D59" s="2"/>
      <c r="E59" s="2"/>
      <c r="F59" s="88">
        <f t="shared" si="6"/>
        <v>44</v>
      </c>
      <c r="G59" s="152"/>
      <c r="H59" s="26"/>
      <c r="I59" s="1819" t="s">
        <v>193</v>
      </c>
      <c r="J59" s="1820"/>
      <c r="K59" s="1820"/>
      <c r="L59" s="1820"/>
      <c r="M59" s="94"/>
      <c r="N59" s="117"/>
      <c r="O59" s="2"/>
      <c r="P59" s="2"/>
      <c r="Q59" s="2"/>
      <c r="R59" s="2"/>
      <c r="S59" s="2"/>
      <c r="T59" s="2"/>
      <c r="U59" s="2"/>
      <c r="V59" s="2"/>
      <c r="W59" s="2"/>
      <c r="X59" s="18"/>
      <c r="Y59" s="2"/>
      <c r="Z59" s="2"/>
      <c r="AF59" s="969"/>
    </row>
    <row r="60" spans="1:32" ht="99" customHeight="1">
      <c r="A60" s="387">
        <f t="shared" si="8"/>
        <v>0</v>
      </c>
      <c r="B60" s="2"/>
      <c r="C60" s="2"/>
      <c r="D60" s="2"/>
      <c r="E60" s="2"/>
      <c r="F60" s="88">
        <f t="shared" si="6"/>
        <v>45</v>
      </c>
      <c r="G60" s="152"/>
      <c r="H60" s="454" t="s">
        <v>788</v>
      </c>
      <c r="I60" s="1819" t="s">
        <v>789</v>
      </c>
      <c r="J60" s="1820"/>
      <c r="K60" s="1820"/>
      <c r="L60" s="1820"/>
      <c r="M60" s="94"/>
      <c r="N60" s="117"/>
      <c r="O60" s="2"/>
      <c r="P60" s="2"/>
      <c r="Q60" s="2"/>
      <c r="R60" s="2"/>
      <c r="S60" s="2"/>
      <c r="T60" s="2"/>
      <c r="U60" s="2"/>
      <c r="V60" s="2"/>
      <c r="W60" s="2"/>
      <c r="X60" s="18"/>
      <c r="Y60" s="2"/>
      <c r="Z60" s="2"/>
      <c r="AF60" s="969"/>
    </row>
    <row r="61" spans="1:32" ht="132" customHeight="1">
      <c r="A61" s="387">
        <f t="shared" si="8"/>
        <v>0</v>
      </c>
      <c r="B61" s="388">
        <f>SUM(A55:A61)</f>
        <v>0</v>
      </c>
      <c r="C61" s="388" t="s">
        <v>831</v>
      </c>
      <c r="D61" s="2"/>
      <c r="E61" s="2"/>
      <c r="F61" s="88">
        <f t="shared" si="6"/>
        <v>46</v>
      </c>
      <c r="G61" s="241"/>
      <c r="H61" s="454" t="s">
        <v>788</v>
      </c>
      <c r="I61" s="1819" t="s">
        <v>791</v>
      </c>
      <c r="J61" s="1820"/>
      <c r="K61" s="1820"/>
      <c r="L61" s="1820"/>
      <c r="M61" s="102"/>
      <c r="N61" s="117"/>
      <c r="O61" s="2"/>
      <c r="P61" s="2"/>
      <c r="Q61" s="2"/>
      <c r="R61" s="2"/>
      <c r="S61" s="2"/>
      <c r="T61" s="2"/>
      <c r="U61" s="2"/>
      <c r="V61" s="2"/>
      <c r="W61" s="2"/>
      <c r="X61" s="18"/>
      <c r="Y61" s="2"/>
      <c r="Z61" s="2"/>
      <c r="AF61" s="969"/>
    </row>
    <row r="62" spans="1:32" ht="74.25" customHeight="1">
      <c r="A62" s="451"/>
      <c r="B62" s="452"/>
      <c r="C62" s="452"/>
      <c r="D62" s="2"/>
      <c r="E62" s="2"/>
      <c r="F62" s="418"/>
      <c r="G62" s="1839" t="s">
        <v>1444</v>
      </c>
      <c r="H62" s="1840"/>
      <c r="I62" s="1840"/>
      <c r="J62" s="1840"/>
      <c r="K62" s="1840"/>
      <c r="L62" s="1840"/>
      <c r="M62" s="1841"/>
      <c r="N62" s="117"/>
      <c r="O62" s="1821" t="s">
        <v>1273</v>
      </c>
      <c r="P62" s="1821"/>
      <c r="Q62" s="1821"/>
      <c r="R62" s="954">
        <v>0</v>
      </c>
      <c r="S62" s="2"/>
      <c r="T62" s="2"/>
      <c r="U62" s="2"/>
      <c r="V62" s="2"/>
      <c r="W62" s="2"/>
      <c r="X62" s="18"/>
      <c r="Y62" s="2"/>
      <c r="Z62" s="2"/>
      <c r="AF62" s="969"/>
    </row>
    <row r="63" spans="1:32" ht="48.45" customHeight="1">
      <c r="A63" s="451">
        <f t="shared" ref="A63:A71" si="9">IF(G63&lt;&gt;"",1,0)</f>
        <v>0</v>
      </c>
      <c r="B63" s="451">
        <f t="shared" ref="B63:B71" si="10">IF(G63="yes",1,0)</f>
        <v>0</v>
      </c>
      <c r="C63" s="452"/>
      <c r="D63" s="2"/>
      <c r="E63" s="2"/>
      <c r="F63" s="88">
        <f>F61+1</f>
        <v>47</v>
      </c>
      <c r="G63" s="152"/>
      <c r="H63" s="455" t="s">
        <v>378</v>
      </c>
      <c r="I63" s="1837" t="s">
        <v>383</v>
      </c>
      <c r="J63" s="1838"/>
      <c r="K63" s="1838"/>
      <c r="L63" s="1838"/>
      <c r="M63" s="94"/>
      <c r="N63" s="117"/>
      <c r="O63" s="954" t="str">
        <f>IF(R63-R62=1,MAX($R$63:R63),"")</f>
        <v/>
      </c>
      <c r="P63" s="955" t="s">
        <v>1233</v>
      </c>
      <c r="Q63" s="956"/>
      <c r="R63" s="954">
        <f>COUNTIFS($G$63:G63,"&lt;&gt;*no*",$G$63:G63,"&lt;&gt;")</f>
        <v>0</v>
      </c>
      <c r="S63" s="2"/>
      <c r="T63" s="2"/>
      <c r="U63" s="2"/>
      <c r="V63" s="2"/>
      <c r="W63" s="2"/>
      <c r="X63" s="18"/>
      <c r="Y63" s="2"/>
      <c r="Z63" s="2"/>
      <c r="AF63" s="969"/>
    </row>
    <row r="64" spans="1:32" ht="48.45" customHeight="1">
      <c r="A64" s="451">
        <f t="shared" si="9"/>
        <v>0</v>
      </c>
      <c r="B64" s="451">
        <f t="shared" si="10"/>
        <v>0</v>
      </c>
      <c r="C64" s="452"/>
      <c r="D64" s="2"/>
      <c r="E64" s="2"/>
      <c r="F64" s="88">
        <f t="shared" ref="F64:F73" si="11">F63+1</f>
        <v>48</v>
      </c>
      <c r="G64" s="152"/>
      <c r="H64" s="455" t="s">
        <v>378</v>
      </c>
      <c r="I64" s="1837" t="s">
        <v>381</v>
      </c>
      <c r="J64" s="1838"/>
      <c r="K64" s="1838"/>
      <c r="L64" s="1838"/>
      <c r="M64" s="94"/>
      <c r="N64" s="117"/>
      <c r="O64" s="954" t="str">
        <f>IF(R64-R63=1,MAX($R$63:R64),"")</f>
        <v/>
      </c>
      <c r="P64" s="955" t="s">
        <v>1249</v>
      </c>
      <c r="Q64" s="956"/>
      <c r="R64" s="954">
        <f>COUNTIF($G$63:G64,"yes")</f>
        <v>0</v>
      </c>
      <c r="S64" s="2"/>
      <c r="T64" s="2"/>
      <c r="U64" s="2"/>
      <c r="V64" s="2"/>
      <c r="W64" s="2"/>
      <c r="X64" s="18"/>
      <c r="Y64" s="2"/>
      <c r="Z64" s="2"/>
      <c r="AF64" s="969"/>
    </row>
    <row r="65" spans="1:32" ht="48.45" customHeight="1">
      <c r="A65" s="451">
        <f t="shared" si="9"/>
        <v>0</v>
      </c>
      <c r="B65" s="451">
        <f t="shared" si="10"/>
        <v>0</v>
      </c>
      <c r="C65" s="452"/>
      <c r="D65" s="2"/>
      <c r="E65" s="2"/>
      <c r="F65" s="88">
        <f t="shared" si="11"/>
        <v>49</v>
      </c>
      <c r="G65" s="152"/>
      <c r="H65" s="455" t="s">
        <v>378</v>
      </c>
      <c r="I65" s="1837" t="s">
        <v>382</v>
      </c>
      <c r="J65" s="1838"/>
      <c r="K65" s="1838"/>
      <c r="L65" s="1838"/>
      <c r="M65" s="94"/>
      <c r="N65" s="117"/>
      <c r="O65" s="954" t="str">
        <f>IF(R65-R64=1,MAX($R$63:R65),"")</f>
        <v/>
      </c>
      <c r="P65" s="957" t="s">
        <v>1234</v>
      </c>
      <c r="Q65" s="956"/>
      <c r="R65" s="954">
        <f>COUNTIF($G$63:G65,"yes")</f>
        <v>0</v>
      </c>
      <c r="S65" s="2"/>
      <c r="T65" s="2"/>
      <c r="U65" s="2"/>
      <c r="V65" s="2"/>
      <c r="W65" s="2"/>
      <c r="X65" s="18"/>
      <c r="Y65" s="2"/>
      <c r="Z65" s="2"/>
      <c r="AF65" s="969"/>
    </row>
    <row r="66" spans="1:32" ht="48.45" customHeight="1">
      <c r="A66" s="451">
        <f t="shared" si="9"/>
        <v>0</v>
      </c>
      <c r="B66" s="451">
        <f t="shared" si="10"/>
        <v>0</v>
      </c>
      <c r="C66" s="452"/>
      <c r="D66" s="2"/>
      <c r="E66" s="2"/>
      <c r="F66" s="88">
        <f t="shared" si="11"/>
        <v>50</v>
      </c>
      <c r="G66" s="152"/>
      <c r="H66" s="455" t="s">
        <v>378</v>
      </c>
      <c r="I66" s="1837" t="s">
        <v>408</v>
      </c>
      <c r="J66" s="1838"/>
      <c r="K66" s="1838"/>
      <c r="L66" s="1838"/>
      <c r="M66" s="94"/>
      <c r="N66" s="117"/>
      <c r="O66" s="954" t="str">
        <f>IF(R66-R65=1,MAX($R$63:R66),"")</f>
        <v/>
      </c>
      <c r="P66" s="957" t="s">
        <v>1235</v>
      </c>
      <c r="Q66" s="956"/>
      <c r="R66" s="954">
        <f>COUNTIF($G$63:G66,"yes")</f>
        <v>0</v>
      </c>
      <c r="S66" s="2"/>
      <c r="T66" s="2"/>
      <c r="U66" s="2"/>
      <c r="V66" s="2"/>
      <c r="W66" s="2"/>
      <c r="X66" s="18"/>
      <c r="Y66" s="2"/>
      <c r="Z66" s="2"/>
      <c r="AF66" s="969"/>
    </row>
    <row r="67" spans="1:32" ht="48.45" customHeight="1">
      <c r="A67" s="451">
        <f t="shared" si="9"/>
        <v>0</v>
      </c>
      <c r="B67" s="451">
        <f t="shared" si="10"/>
        <v>0</v>
      </c>
      <c r="C67" s="452"/>
      <c r="D67" s="2"/>
      <c r="E67" s="2"/>
      <c r="F67" s="88">
        <f t="shared" si="11"/>
        <v>51</v>
      </c>
      <c r="G67" s="152"/>
      <c r="H67" s="455" t="s">
        <v>378</v>
      </c>
      <c r="I67" s="1837" t="s">
        <v>380</v>
      </c>
      <c r="J67" s="1838"/>
      <c r="K67" s="1838"/>
      <c r="L67" s="1838"/>
      <c r="M67" s="94"/>
      <c r="N67" s="117"/>
      <c r="O67" s="954" t="str">
        <f>IF(R67-R66=1,MAX($R$63:R67),"")</f>
        <v/>
      </c>
      <c r="P67" s="957" t="s">
        <v>1236</v>
      </c>
      <c r="Q67" s="956"/>
      <c r="R67" s="954">
        <f>COUNTIF($G$63:G67,"yes")</f>
        <v>0</v>
      </c>
      <c r="S67" s="2"/>
      <c r="T67" s="2"/>
      <c r="U67" s="2"/>
      <c r="V67" s="2"/>
      <c r="W67" s="2"/>
      <c r="X67" s="18"/>
      <c r="Y67" s="2"/>
      <c r="Z67" s="2"/>
      <c r="AF67" s="969"/>
    </row>
    <row r="68" spans="1:32" ht="48.45" customHeight="1">
      <c r="A68" s="451">
        <f t="shared" si="9"/>
        <v>0</v>
      </c>
      <c r="B68" s="451">
        <f t="shared" si="10"/>
        <v>0</v>
      </c>
      <c r="C68" s="452"/>
      <c r="D68" s="2"/>
      <c r="E68" s="2"/>
      <c r="F68" s="88">
        <f t="shared" si="11"/>
        <v>52</v>
      </c>
      <c r="G68" s="152"/>
      <c r="H68" s="455" t="s">
        <v>378</v>
      </c>
      <c r="I68" s="1837" t="s">
        <v>379</v>
      </c>
      <c r="J68" s="1838"/>
      <c r="K68" s="1838"/>
      <c r="L68" s="1838"/>
      <c r="M68" s="94"/>
      <c r="N68" s="117"/>
      <c r="O68" s="954" t="str">
        <f>IF(R68-R67=1,MAX($R$63:R68),"")</f>
        <v/>
      </c>
      <c r="P68" s="957" t="s">
        <v>1237</v>
      </c>
      <c r="Q68" s="956"/>
      <c r="R68" s="954">
        <f>COUNTIF($G$63:G68,"yes")</f>
        <v>0</v>
      </c>
      <c r="S68" s="2"/>
      <c r="T68" s="2"/>
      <c r="U68" s="2"/>
      <c r="V68" s="2"/>
      <c r="W68" s="2"/>
      <c r="X68" s="18"/>
      <c r="Y68" s="2"/>
      <c r="Z68" s="2"/>
      <c r="AF68" s="969"/>
    </row>
    <row r="69" spans="1:32" ht="48.45" customHeight="1">
      <c r="A69" s="451">
        <f t="shared" si="9"/>
        <v>0</v>
      </c>
      <c r="B69" s="451">
        <f t="shared" si="10"/>
        <v>0</v>
      </c>
      <c r="C69" s="452"/>
      <c r="D69" s="2"/>
      <c r="E69" s="2"/>
      <c r="F69" s="88">
        <f t="shared" si="11"/>
        <v>53</v>
      </c>
      <c r="G69" s="152"/>
      <c r="H69" s="455" t="s">
        <v>378</v>
      </c>
      <c r="I69" s="1837" t="s">
        <v>392</v>
      </c>
      <c r="J69" s="1838"/>
      <c r="K69" s="1838"/>
      <c r="L69" s="1838"/>
      <c r="M69" s="94"/>
      <c r="N69" s="117"/>
      <c r="O69" s="954" t="str">
        <f>IF(R69-R68=1,MAX($R$63:R69),"")</f>
        <v/>
      </c>
      <c r="P69" s="957" t="s">
        <v>1238</v>
      </c>
      <c r="Q69" s="956"/>
      <c r="R69" s="954">
        <f>COUNTIF($G$63:G69,"yes")</f>
        <v>0</v>
      </c>
      <c r="S69" s="2"/>
      <c r="T69" s="2"/>
      <c r="U69" s="2"/>
      <c r="V69" s="2"/>
      <c r="W69" s="2"/>
      <c r="X69" s="18"/>
      <c r="Y69" s="2"/>
      <c r="Z69" s="2"/>
      <c r="AF69" s="969"/>
    </row>
    <row r="70" spans="1:32" ht="48.45" customHeight="1" thickBot="1">
      <c r="A70" s="451">
        <f t="shared" si="9"/>
        <v>0</v>
      </c>
      <c r="B70" s="451">
        <f t="shared" si="10"/>
        <v>0</v>
      </c>
      <c r="C70" s="452"/>
      <c r="D70" s="2"/>
      <c r="E70" s="2"/>
      <c r="F70" s="88">
        <f t="shared" si="11"/>
        <v>54</v>
      </c>
      <c r="G70" s="152"/>
      <c r="H70" s="455" t="s">
        <v>378</v>
      </c>
      <c r="I70" s="1837" t="s">
        <v>388</v>
      </c>
      <c r="J70" s="1838"/>
      <c r="K70" s="1838"/>
      <c r="L70" s="1838"/>
      <c r="M70" s="94"/>
      <c r="N70" s="117"/>
      <c r="O70" s="954" t="str">
        <f>IF(R70-R69=1,MAX($R$63:R70),"")</f>
        <v/>
      </c>
      <c r="P70" s="957" t="s">
        <v>1239</v>
      </c>
      <c r="Q70" s="956"/>
      <c r="R70" s="954">
        <f>COUNTIF($G$63:G70,"yes")</f>
        <v>0</v>
      </c>
      <c r="S70" s="2"/>
      <c r="T70" s="2"/>
      <c r="U70" s="2"/>
      <c r="V70" s="2"/>
      <c r="W70" s="2"/>
      <c r="X70" s="18"/>
      <c r="Y70" s="2"/>
      <c r="Z70" s="2"/>
      <c r="AF70" s="969"/>
    </row>
    <row r="71" spans="1:32" ht="48.45" customHeight="1">
      <c r="A71" s="451">
        <f t="shared" si="9"/>
        <v>0</v>
      </c>
      <c r="B71" s="485">
        <f t="shared" si="10"/>
        <v>0</v>
      </c>
      <c r="C71" s="1835" t="s">
        <v>1448</v>
      </c>
      <c r="D71" s="1835" t="s">
        <v>1449</v>
      </c>
      <c r="E71" s="2"/>
      <c r="F71" s="88">
        <f t="shared" si="11"/>
        <v>55</v>
      </c>
      <c r="G71" s="152"/>
      <c r="H71" s="455" t="s">
        <v>378</v>
      </c>
      <c r="I71" s="1837" t="s">
        <v>389</v>
      </c>
      <c r="J71" s="1838"/>
      <c r="K71" s="1838"/>
      <c r="L71" s="1838"/>
      <c r="M71" s="94"/>
      <c r="N71" s="117"/>
      <c r="O71" s="954" t="str">
        <f>IF(R71-R70=1,MAX($R$63:R71),"")</f>
        <v/>
      </c>
      <c r="P71" s="957" t="s">
        <v>1240</v>
      </c>
      <c r="Q71" s="956"/>
      <c r="R71" s="954">
        <f>COUNTIF($G$63:G71,"yes")</f>
        <v>0</v>
      </c>
      <c r="S71" s="2"/>
      <c r="T71" s="2"/>
      <c r="U71" s="2"/>
      <c r="V71" s="2"/>
      <c r="W71" s="2"/>
      <c r="X71" s="2"/>
      <c r="Y71" s="2"/>
      <c r="Z71" s="2"/>
      <c r="AF71" s="969"/>
    </row>
    <row r="72" spans="1:32" ht="48.45" customHeight="1" thickBot="1">
      <c r="A72" s="451">
        <f>IF(G72="",0, IF(G72&lt;&gt;"no",1,0))</f>
        <v>0</v>
      </c>
      <c r="B72" s="485">
        <f>IF(G72="",0, IF(G72&lt;&gt;"no",1,0))</f>
        <v>0</v>
      </c>
      <c r="C72" s="1836"/>
      <c r="D72" s="1836"/>
      <c r="E72" s="2"/>
      <c r="F72" s="88">
        <f t="shared" si="11"/>
        <v>56</v>
      </c>
      <c r="G72" s="152"/>
      <c r="H72" s="455" t="s">
        <v>378</v>
      </c>
      <c r="I72" s="1837" t="s">
        <v>386</v>
      </c>
      <c r="J72" s="1838"/>
      <c r="K72" s="1838"/>
      <c r="L72" s="1838"/>
      <c r="M72" s="94"/>
      <c r="N72" s="117"/>
      <c r="O72" s="954" t="str">
        <f>IF(R72-R71=1,MAX($R$63:R72),"")</f>
        <v/>
      </c>
      <c r="P72" s="954" t="str">
        <f>IF(G72="","",G72)</f>
        <v/>
      </c>
      <c r="Q72" s="956"/>
      <c r="R72" s="954">
        <f>IF(G72&lt;&gt;"",R71+1,R71)</f>
        <v>0</v>
      </c>
      <c r="S72" s="2"/>
      <c r="T72" s="2"/>
      <c r="U72" s="2"/>
      <c r="V72" s="2"/>
      <c r="W72" s="2"/>
      <c r="X72" s="18"/>
      <c r="Y72" s="2"/>
      <c r="Z72" s="2"/>
      <c r="AF72" s="969"/>
    </row>
    <row r="73" spans="1:32" ht="48.45" customHeight="1">
      <c r="A73" s="1292">
        <f>IF(G73="",0, IF(G73&lt;&gt;"no",1,0))</f>
        <v>0</v>
      </c>
      <c r="B73" s="1293">
        <f>IF(G73="",0, IF(G73&lt;&gt;"no",1,0))</f>
        <v>0</v>
      </c>
      <c r="C73" s="1294">
        <f>SUM(A63:A73)</f>
        <v>0</v>
      </c>
      <c r="D73" s="1294">
        <f>SUM(B63:B73)</f>
        <v>0</v>
      </c>
      <c r="E73" s="2"/>
      <c r="F73" s="1295">
        <f t="shared" si="11"/>
        <v>57</v>
      </c>
      <c r="G73" s="152"/>
      <c r="H73" s="1296" t="s">
        <v>378</v>
      </c>
      <c r="I73" s="1844" t="s">
        <v>387</v>
      </c>
      <c r="J73" s="1845"/>
      <c r="K73" s="1845"/>
      <c r="L73" s="1845"/>
      <c r="M73" s="316"/>
      <c r="N73" s="117"/>
      <c r="O73" s="954" t="str">
        <f>IF(R73-R72=1,MAX($R$63:R73),"")</f>
        <v/>
      </c>
      <c r="P73" s="954" t="str">
        <f>IF(G73="","",G73)</f>
        <v/>
      </c>
      <c r="Q73" s="956"/>
      <c r="R73" s="954">
        <f>IF(G73&lt;&gt;"",R72+1,R72)</f>
        <v>0</v>
      </c>
      <c r="S73" s="2"/>
      <c r="T73" s="2"/>
      <c r="U73" s="2"/>
      <c r="V73" s="2"/>
      <c r="W73" s="2"/>
      <c r="X73" s="18"/>
      <c r="Y73" s="2"/>
      <c r="Z73" s="2"/>
      <c r="AF73" s="969"/>
    </row>
    <row r="74" spans="1:32" ht="17.399999999999999">
      <c r="A74" s="301"/>
      <c r="B74" s="299"/>
      <c r="C74" s="299"/>
      <c r="D74" s="299"/>
      <c r="E74" s="299"/>
      <c r="F74" s="1297"/>
      <c r="G74" s="1298" t="s">
        <v>32</v>
      </c>
      <c r="H74" s="1299"/>
      <c r="I74" s="1300"/>
      <c r="J74" s="1301"/>
      <c r="K74" s="1301"/>
      <c r="L74" s="1301"/>
      <c r="M74" s="1302"/>
      <c r="N74" s="117"/>
      <c r="O74" s="2"/>
      <c r="P74" s="2"/>
      <c r="Q74" s="2"/>
      <c r="R74" s="2"/>
      <c r="S74" s="2"/>
      <c r="T74" s="2"/>
      <c r="U74" s="2"/>
      <c r="V74" s="2"/>
      <c r="W74" s="2"/>
      <c r="X74" s="18"/>
      <c r="Y74" s="2"/>
      <c r="Z74" s="2"/>
      <c r="AF74" s="969"/>
    </row>
    <row r="75" spans="1:32" ht="69.75" customHeight="1">
      <c r="A75" s="2"/>
      <c r="B75" s="2"/>
      <c r="C75" s="2"/>
      <c r="D75" s="2"/>
      <c r="E75" s="2"/>
      <c r="F75" s="1846" t="s">
        <v>357</v>
      </c>
      <c r="G75" s="1847"/>
      <c r="H75" s="1847"/>
      <c r="I75" s="1847"/>
      <c r="J75" s="1847"/>
      <c r="K75" s="1847"/>
      <c r="L75" s="1847"/>
      <c r="M75" s="1848"/>
      <c r="N75" s="117"/>
      <c r="O75" s="2"/>
      <c r="P75" s="2"/>
      <c r="Q75" s="2"/>
      <c r="R75" s="2"/>
      <c r="S75" s="2"/>
      <c r="T75" s="2"/>
      <c r="U75" s="2"/>
      <c r="V75" s="2"/>
      <c r="W75" s="2"/>
      <c r="X75" s="18"/>
      <c r="Y75" s="2"/>
      <c r="Z75" s="2"/>
      <c r="AF75" s="969"/>
    </row>
    <row r="76" spans="1:32" ht="82.5" customHeight="1">
      <c r="A76" s="2"/>
      <c r="B76" s="2"/>
      <c r="C76" s="2"/>
      <c r="D76" s="2"/>
      <c r="E76" s="2"/>
      <c r="F76" s="1849" t="s">
        <v>1079</v>
      </c>
      <c r="G76" s="1850"/>
      <c r="H76" s="1850"/>
      <c r="I76" s="1850"/>
      <c r="J76" s="1850"/>
      <c r="K76" s="1850"/>
      <c r="L76" s="1851"/>
      <c r="M76" s="320"/>
      <c r="N76" s="117"/>
      <c r="O76" s="2"/>
      <c r="P76" s="2"/>
      <c r="Q76" s="2"/>
      <c r="R76" s="2"/>
      <c r="T76" s="2"/>
      <c r="U76" s="2"/>
      <c r="V76" s="2"/>
      <c r="W76" s="2"/>
      <c r="X76" s="18"/>
      <c r="Y76" s="2"/>
      <c r="Z76" s="2"/>
      <c r="AF76" s="969"/>
    </row>
    <row r="77" spans="1:32" ht="32.25" customHeight="1" thickBot="1">
      <c r="A77" s="2"/>
      <c r="B77" s="2"/>
      <c r="C77" s="2"/>
      <c r="D77" s="2"/>
      <c r="E77" s="2"/>
      <c r="F77" s="1310"/>
      <c r="G77" s="103"/>
      <c r="H77" s="104"/>
      <c r="I77" s="273" t="s">
        <v>185</v>
      </c>
      <c r="J77" s="274"/>
      <c r="K77" s="275" t="s">
        <v>191</v>
      </c>
      <c r="L77" s="276"/>
      <c r="M77" s="326"/>
      <c r="N77" s="117"/>
      <c r="O77" s="2"/>
      <c r="P77" s="2"/>
      <c r="Q77" s="2"/>
      <c r="R77" s="2"/>
      <c r="T77" s="2"/>
      <c r="U77" s="2"/>
      <c r="V77" s="2"/>
      <c r="W77" s="2"/>
      <c r="X77" s="18"/>
      <c r="Y77" s="2"/>
      <c r="Z77" s="2"/>
      <c r="AF77" s="969"/>
    </row>
    <row r="78" spans="1:32" ht="19.2" thickTop="1" thickBot="1">
      <c r="A78" s="2"/>
      <c r="B78" s="2"/>
      <c r="C78" s="2"/>
      <c r="D78" s="2"/>
      <c r="E78" s="2"/>
      <c r="F78" s="319">
        <f>F73+1</f>
        <v>58</v>
      </c>
      <c r="G78" s="98"/>
      <c r="H78" s="104"/>
      <c r="I78" s="742">
        <v>0</v>
      </c>
      <c r="J78" s="743" t="s">
        <v>794</v>
      </c>
      <c r="K78" s="742">
        <v>0</v>
      </c>
      <c r="L78" s="743" t="s">
        <v>794</v>
      </c>
      <c r="M78" s="326"/>
      <c r="N78" s="117"/>
      <c r="O78" s="2"/>
      <c r="P78" s="2"/>
      <c r="Q78" s="2"/>
      <c r="R78" s="2"/>
      <c r="S78" s="2"/>
      <c r="T78" s="2"/>
      <c r="U78" s="2"/>
      <c r="V78" s="2"/>
      <c r="W78" s="2"/>
      <c r="X78" s="18"/>
      <c r="Y78" s="2"/>
      <c r="Z78" s="2"/>
      <c r="AF78" s="969"/>
    </row>
    <row r="79" spans="1:32" ht="37.200000000000003" thickTop="1" thickBot="1">
      <c r="A79" s="2"/>
      <c r="B79" s="2"/>
      <c r="C79" s="2"/>
      <c r="D79" s="2"/>
      <c r="E79" s="2"/>
      <c r="F79" s="319">
        <f>F78+1</f>
        <v>59</v>
      </c>
      <c r="G79" s="98"/>
      <c r="H79" s="104"/>
      <c r="I79" s="742">
        <v>0</v>
      </c>
      <c r="J79" s="743" t="s">
        <v>795</v>
      </c>
      <c r="K79" s="742">
        <v>0</v>
      </c>
      <c r="L79" s="743" t="s">
        <v>795</v>
      </c>
      <c r="M79" s="326"/>
      <c r="N79" s="117"/>
      <c r="O79" s="2"/>
      <c r="P79" s="2"/>
      <c r="Q79" s="2"/>
      <c r="R79" s="2"/>
      <c r="S79" s="2"/>
      <c r="T79" s="2"/>
      <c r="U79" s="2"/>
      <c r="V79" s="2"/>
      <c r="W79" s="2"/>
      <c r="X79" s="18"/>
      <c r="Y79" s="2"/>
      <c r="Z79" s="2"/>
      <c r="AF79" s="969"/>
    </row>
    <row r="80" spans="1:32" ht="37.200000000000003" thickTop="1" thickBot="1">
      <c r="A80" s="2"/>
      <c r="B80" s="2"/>
      <c r="C80" s="2"/>
      <c r="D80" s="2"/>
      <c r="E80" s="2"/>
      <c r="F80" s="319">
        <f t="shared" ref="F80" si="12">F79+1</f>
        <v>60</v>
      </c>
      <c r="G80" s="98"/>
      <c r="H80" s="104"/>
      <c r="I80" s="742">
        <v>0</v>
      </c>
      <c r="J80" s="743" t="s">
        <v>796</v>
      </c>
      <c r="K80" s="742">
        <v>0</v>
      </c>
      <c r="L80" s="743" t="s">
        <v>796</v>
      </c>
      <c r="M80" s="326"/>
      <c r="N80" s="117"/>
      <c r="O80" s="2"/>
      <c r="P80" s="2"/>
      <c r="Q80" s="2"/>
      <c r="R80" s="2"/>
      <c r="S80" s="2"/>
      <c r="T80" s="2"/>
      <c r="U80" s="2"/>
      <c r="V80" s="2"/>
      <c r="W80" s="2"/>
      <c r="X80" s="18"/>
      <c r="Y80" s="2"/>
      <c r="Z80" s="2"/>
      <c r="AF80" s="969"/>
    </row>
    <row r="81" spans="1:32" ht="55.2" thickTop="1" thickBot="1">
      <c r="A81" s="2"/>
      <c r="B81" s="2"/>
      <c r="C81" s="2"/>
      <c r="D81" s="2"/>
      <c r="E81" s="2"/>
      <c r="F81" s="319">
        <f t="shared" ref="F81:F87" si="13">F80+1</f>
        <v>61</v>
      </c>
      <c r="G81" s="98"/>
      <c r="H81" s="104"/>
      <c r="I81" s="742">
        <v>0</v>
      </c>
      <c r="J81" s="743" t="s">
        <v>797</v>
      </c>
      <c r="K81" s="742">
        <v>0</v>
      </c>
      <c r="L81" s="743" t="s">
        <v>797</v>
      </c>
      <c r="M81" s="326"/>
      <c r="N81" s="117"/>
      <c r="O81" s="2"/>
      <c r="P81" s="2"/>
      <c r="Q81" s="2"/>
      <c r="R81" s="2"/>
      <c r="S81" s="2"/>
      <c r="T81" s="2"/>
      <c r="U81" s="2"/>
      <c r="V81" s="2"/>
      <c r="W81" s="2"/>
      <c r="X81" s="18"/>
      <c r="Y81" s="2"/>
      <c r="Z81" s="2"/>
      <c r="AF81" s="969"/>
    </row>
    <row r="82" spans="1:32" ht="37.200000000000003" thickTop="1" thickBot="1">
      <c r="A82" s="2"/>
      <c r="B82" s="2"/>
      <c r="C82" s="2"/>
      <c r="D82" s="2"/>
      <c r="E82" s="2"/>
      <c r="F82" s="319">
        <f t="shared" si="13"/>
        <v>62</v>
      </c>
      <c r="G82" s="98"/>
      <c r="H82" s="104"/>
      <c r="I82" s="742">
        <v>0</v>
      </c>
      <c r="J82" s="743" t="s">
        <v>113</v>
      </c>
      <c r="K82" s="742">
        <v>0</v>
      </c>
      <c r="L82" s="744" t="s">
        <v>113</v>
      </c>
      <c r="M82" s="326"/>
      <c r="N82" s="117"/>
      <c r="O82" s="2"/>
      <c r="P82" s="2"/>
      <c r="Q82" s="2"/>
      <c r="R82" s="2"/>
      <c r="S82" s="2"/>
      <c r="T82" s="2"/>
      <c r="U82" s="2"/>
      <c r="V82" s="2"/>
      <c r="W82" s="2"/>
      <c r="X82" s="18"/>
      <c r="Y82" s="2"/>
      <c r="Z82" s="2"/>
      <c r="AF82" s="969"/>
    </row>
    <row r="83" spans="1:32" ht="37.200000000000003" thickTop="1" thickBot="1">
      <c r="A83" s="2"/>
      <c r="B83" s="2"/>
      <c r="C83" s="2"/>
      <c r="D83" s="2"/>
      <c r="E83" s="2"/>
      <c r="F83" s="319">
        <f t="shared" si="13"/>
        <v>63</v>
      </c>
      <c r="G83" s="98"/>
      <c r="H83" s="104"/>
      <c r="I83" s="742">
        <v>0</v>
      </c>
      <c r="J83" s="743" t="s">
        <v>114</v>
      </c>
      <c r="K83" s="742">
        <v>0</v>
      </c>
      <c r="L83" s="744" t="s">
        <v>114</v>
      </c>
      <c r="M83" s="326"/>
      <c r="N83" s="117"/>
      <c r="O83" s="2"/>
      <c r="P83" s="2"/>
      <c r="Q83" s="2"/>
      <c r="R83" s="2"/>
      <c r="S83" s="2"/>
      <c r="T83" s="2"/>
      <c r="U83" s="2"/>
      <c r="V83" s="2"/>
      <c r="W83" s="2"/>
      <c r="X83" s="18"/>
      <c r="Y83" s="2"/>
      <c r="Z83" s="2"/>
      <c r="AF83" s="969"/>
    </row>
    <row r="84" spans="1:32" ht="55.2" thickTop="1" thickBot="1">
      <c r="A84" s="2"/>
      <c r="B84" s="2"/>
      <c r="C84" s="2"/>
      <c r="D84" s="2"/>
      <c r="E84" s="2"/>
      <c r="F84" s="319">
        <f t="shared" si="13"/>
        <v>64</v>
      </c>
      <c r="G84" s="98"/>
      <c r="H84" s="104"/>
      <c r="I84" s="742">
        <v>0</v>
      </c>
      <c r="J84" s="743" t="s">
        <v>115</v>
      </c>
      <c r="K84" s="742">
        <v>0</v>
      </c>
      <c r="L84" s="743" t="s">
        <v>115</v>
      </c>
      <c r="M84" s="326"/>
      <c r="N84" s="117"/>
      <c r="O84" s="2"/>
      <c r="P84" s="2"/>
      <c r="Q84" s="2"/>
      <c r="R84" s="2"/>
      <c r="S84" s="2"/>
      <c r="T84" s="2"/>
      <c r="U84" s="2"/>
      <c r="V84" s="2"/>
      <c r="W84" s="2"/>
      <c r="X84" s="18"/>
      <c r="Y84" s="2"/>
      <c r="Z84" s="2"/>
      <c r="AF84" s="969"/>
    </row>
    <row r="85" spans="1:32" ht="19.2" thickTop="1" thickBot="1">
      <c r="A85" s="2"/>
      <c r="B85" s="2"/>
      <c r="C85" s="2"/>
      <c r="D85" s="2"/>
      <c r="E85" s="2"/>
      <c r="F85" s="319">
        <f t="shared" si="13"/>
        <v>65</v>
      </c>
      <c r="G85" s="98"/>
      <c r="H85" s="104"/>
      <c r="I85" s="742">
        <v>0</v>
      </c>
      <c r="J85" s="743" t="s">
        <v>116</v>
      </c>
      <c r="K85" s="742">
        <v>0</v>
      </c>
      <c r="L85" s="743" t="s">
        <v>116</v>
      </c>
      <c r="M85" s="326"/>
      <c r="N85" s="117"/>
      <c r="O85" s="2"/>
      <c r="P85" s="2"/>
      <c r="Q85" s="2"/>
      <c r="R85" s="2"/>
      <c r="S85" s="2"/>
      <c r="T85" s="2"/>
      <c r="U85" s="2"/>
      <c r="V85" s="2"/>
      <c r="W85" s="2"/>
      <c r="X85" s="18"/>
      <c r="Y85" s="2"/>
      <c r="Z85" s="2"/>
      <c r="AF85" s="969"/>
    </row>
    <row r="86" spans="1:32" ht="37.200000000000003" thickTop="1" thickBot="1">
      <c r="A86" s="2"/>
      <c r="B86" s="2"/>
      <c r="C86" s="2"/>
      <c r="D86" s="2"/>
      <c r="E86" s="2"/>
      <c r="F86" s="319">
        <f t="shared" si="13"/>
        <v>66</v>
      </c>
      <c r="G86" s="98"/>
      <c r="H86" s="104"/>
      <c r="I86" s="742">
        <v>0</v>
      </c>
      <c r="J86" s="745" t="s">
        <v>192</v>
      </c>
      <c r="K86" s="742">
        <v>0</v>
      </c>
      <c r="L86" s="745" t="s">
        <v>192</v>
      </c>
      <c r="M86" s="326"/>
      <c r="N86" s="117"/>
      <c r="O86" s="2"/>
      <c r="P86" s="2"/>
      <c r="Q86" s="2"/>
      <c r="R86" s="2"/>
      <c r="S86" s="2"/>
      <c r="T86" s="2"/>
      <c r="U86" s="2"/>
      <c r="V86" s="2"/>
      <c r="W86" s="2"/>
      <c r="X86" s="18"/>
      <c r="Y86" s="2"/>
      <c r="Z86" s="2"/>
      <c r="AF86" s="969"/>
    </row>
    <row r="87" spans="1:32" ht="55.2" thickTop="1" thickBot="1">
      <c r="A87" s="2"/>
      <c r="B87" s="2"/>
      <c r="C87" s="2"/>
      <c r="D87" s="2"/>
      <c r="E87" s="2"/>
      <c r="F87" s="319">
        <f t="shared" si="13"/>
        <v>67</v>
      </c>
      <c r="G87" s="98"/>
      <c r="H87" s="104"/>
      <c r="I87" s="742">
        <v>0</v>
      </c>
      <c r="J87" s="743" t="s">
        <v>798</v>
      </c>
      <c r="K87" s="742">
        <v>0</v>
      </c>
      <c r="L87" s="743" t="s">
        <v>798</v>
      </c>
      <c r="M87" s="326"/>
      <c r="N87" s="117"/>
      <c r="O87" s="486"/>
      <c r="P87" s="486"/>
      <c r="Q87" s="486"/>
      <c r="R87" s="2"/>
      <c r="S87" s="2"/>
      <c r="T87" s="2"/>
      <c r="U87" s="2"/>
      <c r="V87" s="2"/>
      <c r="W87" s="2"/>
      <c r="X87" s="18"/>
      <c r="Y87" s="2"/>
      <c r="Z87" s="2"/>
      <c r="AF87" s="969"/>
    </row>
    <row r="88" spans="1:32" ht="21.6" thickTop="1">
      <c r="F88" s="229" t="s">
        <v>176</v>
      </c>
      <c r="N88" s="117"/>
      <c r="O88" s="486"/>
      <c r="P88" s="486"/>
      <c r="Q88" s="2"/>
      <c r="R88" s="2"/>
      <c r="S88" s="2"/>
      <c r="T88" s="2"/>
      <c r="U88" s="2"/>
      <c r="V88" s="2"/>
      <c r="W88" s="2"/>
      <c r="X88" s="18"/>
      <c r="Y88" s="2"/>
      <c r="Z88" s="2"/>
      <c r="AF88" s="969"/>
    </row>
    <row r="89" spans="1:32" ht="54" hidden="1" customHeight="1">
      <c r="N89" s="117"/>
      <c r="O89" s="2"/>
      <c r="P89" s="2"/>
      <c r="Q89" s="2"/>
      <c r="R89" s="2"/>
      <c r="S89" s="2"/>
      <c r="T89" s="2"/>
      <c r="U89" s="2"/>
      <c r="V89" s="2"/>
      <c r="W89" s="2"/>
      <c r="X89" s="18"/>
      <c r="Y89" s="2"/>
      <c r="Z89" s="2"/>
      <c r="AF89" s="969"/>
    </row>
    <row r="90" spans="1:32" ht="54" hidden="1" customHeight="1">
      <c r="N90" s="117"/>
      <c r="O90" s="2"/>
      <c r="P90" s="2"/>
      <c r="Q90" s="2"/>
      <c r="R90" s="2"/>
      <c r="S90" s="2"/>
      <c r="T90" s="2"/>
      <c r="U90" s="2"/>
      <c r="V90" s="2"/>
      <c r="W90" s="2"/>
      <c r="X90" s="18"/>
      <c r="Y90" s="2"/>
      <c r="Z90" s="2"/>
      <c r="AF90" s="969"/>
    </row>
    <row r="91" spans="1:32" ht="54" hidden="1" customHeight="1">
      <c r="N91" s="117"/>
      <c r="O91" s="2"/>
      <c r="P91" s="2"/>
      <c r="Q91" s="2"/>
      <c r="R91" s="2"/>
      <c r="S91" s="2"/>
      <c r="T91" s="2"/>
      <c r="U91" s="2"/>
      <c r="V91" s="2"/>
      <c r="W91" s="2"/>
      <c r="X91" s="18"/>
      <c r="Y91" s="2"/>
      <c r="Z91" s="2"/>
      <c r="AF91" s="969"/>
    </row>
    <row r="92" spans="1:32" ht="54" hidden="1" customHeight="1">
      <c r="N92" s="117"/>
      <c r="O92" s="2"/>
      <c r="P92" s="2"/>
      <c r="Q92" s="2"/>
      <c r="R92" s="2"/>
      <c r="S92" s="2"/>
      <c r="T92" s="2"/>
      <c r="U92" s="2"/>
      <c r="V92" s="2"/>
      <c r="W92" s="2"/>
      <c r="X92" s="18"/>
      <c r="Y92" s="2"/>
      <c r="Z92" s="2"/>
      <c r="AF92" s="969"/>
    </row>
    <row r="93" spans="1:32" ht="54" hidden="1" customHeight="1">
      <c r="N93" s="117"/>
      <c r="O93" s="2"/>
      <c r="P93" s="2"/>
      <c r="Q93" s="2"/>
      <c r="R93" s="2"/>
      <c r="S93" s="2"/>
      <c r="T93" s="2"/>
      <c r="U93" s="2"/>
      <c r="V93" s="2"/>
      <c r="W93" s="2"/>
      <c r="X93" s="18"/>
      <c r="Y93" s="2"/>
      <c r="Z93" s="2"/>
      <c r="AF93" s="969"/>
    </row>
    <row r="94" spans="1:32" ht="54" hidden="1" customHeight="1">
      <c r="N94" s="117"/>
      <c r="O94" s="2"/>
      <c r="P94" s="2"/>
      <c r="Q94" s="2"/>
      <c r="R94" s="2"/>
      <c r="S94" s="2"/>
      <c r="T94" s="2"/>
      <c r="U94" s="2"/>
      <c r="V94" s="2"/>
      <c r="W94" s="2"/>
      <c r="X94" s="18"/>
      <c r="Y94" s="2"/>
      <c r="Z94" s="2"/>
      <c r="AF94" s="969"/>
    </row>
    <row r="95" spans="1:32" ht="43.95" hidden="1" customHeight="1">
      <c r="A95" s="105"/>
      <c r="B95" s="105"/>
      <c r="C95" s="105"/>
      <c r="D95" s="105"/>
      <c r="E95" s="105"/>
      <c r="F95" s="1308"/>
      <c r="G95" s="1308"/>
      <c r="H95" s="1308"/>
      <c r="I95" s="1308"/>
      <c r="J95" s="1308"/>
      <c r="K95" s="1308"/>
      <c r="L95" s="1308"/>
      <c r="M95" s="105"/>
      <c r="N95" s="117"/>
      <c r="O95" s="2"/>
      <c r="P95" s="2"/>
      <c r="Q95" s="2"/>
      <c r="R95" s="2"/>
      <c r="S95" s="2"/>
      <c r="T95" s="2"/>
      <c r="U95" s="2"/>
      <c r="V95" s="2"/>
      <c r="W95" s="2"/>
      <c r="X95" s="18"/>
      <c r="Y95" s="2"/>
      <c r="Z95" s="2"/>
      <c r="AF95" s="969"/>
    </row>
    <row r="96" spans="1:32" ht="20.25" hidden="1" customHeight="1">
      <c r="A96" s="1225"/>
      <c r="B96" s="1225"/>
      <c r="C96" s="105"/>
      <c r="D96" s="105"/>
      <c r="E96" s="1305"/>
      <c r="F96" s="1225"/>
      <c r="G96" s="1303"/>
      <c r="H96" s="1291"/>
      <c r="I96" s="1311"/>
      <c r="J96" s="1308"/>
      <c r="K96" s="1308"/>
      <c r="L96" s="1308"/>
      <c r="M96" s="330"/>
      <c r="N96" s="117"/>
      <c r="O96" s="2"/>
      <c r="P96" s="2"/>
      <c r="Q96" s="2"/>
      <c r="R96" s="2"/>
      <c r="S96" s="2"/>
      <c r="T96" s="2"/>
      <c r="U96" s="2"/>
      <c r="V96" s="2"/>
      <c r="W96" s="2"/>
      <c r="X96" s="18"/>
      <c r="Y96" s="2"/>
      <c r="Z96" s="2"/>
      <c r="AF96" s="969"/>
    </row>
    <row r="97" spans="1:32" ht="20.25" hidden="1" customHeight="1">
      <c r="A97" s="1225"/>
      <c r="B97" s="1225"/>
      <c r="C97" s="105"/>
      <c r="D97" s="105"/>
      <c r="E97" s="1305"/>
      <c r="F97" s="1225"/>
      <c r="G97" s="1303"/>
      <c r="H97" s="1291"/>
      <c r="I97" s="1311"/>
      <c r="J97" s="1308"/>
      <c r="K97" s="1308"/>
      <c r="L97" s="1308"/>
      <c r="M97" s="105"/>
      <c r="N97" s="117"/>
      <c r="O97" s="2"/>
      <c r="P97" s="2"/>
      <c r="Q97" s="2"/>
      <c r="R97" s="2"/>
      <c r="S97" s="2"/>
      <c r="T97" s="2"/>
      <c r="U97" s="2"/>
      <c r="V97" s="2"/>
      <c r="W97" s="2"/>
      <c r="X97" s="18"/>
      <c r="Y97" s="2"/>
      <c r="Z97" s="2"/>
      <c r="AF97" s="969"/>
    </row>
    <row r="98" spans="1:32" ht="20.25" hidden="1" customHeight="1">
      <c r="A98" s="1225"/>
      <c r="B98" s="1225"/>
      <c r="C98" s="105"/>
      <c r="D98" s="105"/>
      <c r="E98" s="1305"/>
      <c r="F98" s="1225"/>
      <c r="G98" s="1303"/>
      <c r="H98" s="1291"/>
      <c r="I98" s="1311"/>
      <c r="J98" s="1308"/>
      <c r="K98" s="1308"/>
      <c r="L98" s="1308"/>
      <c r="M98" s="105"/>
      <c r="N98" s="117"/>
      <c r="O98" s="2"/>
      <c r="P98" s="2"/>
      <c r="Q98" s="2"/>
      <c r="R98" s="2"/>
      <c r="S98" s="2"/>
      <c r="T98" s="2"/>
      <c r="U98" s="2"/>
      <c r="V98" s="2"/>
      <c r="W98" s="2"/>
      <c r="X98" s="18"/>
      <c r="Y98" s="2"/>
      <c r="Z98" s="2"/>
      <c r="AF98" s="969"/>
    </row>
    <row r="99" spans="1:32" ht="20.25" hidden="1" customHeight="1">
      <c r="A99" s="1225"/>
      <c r="B99" s="1225"/>
      <c r="C99" s="105"/>
      <c r="D99" s="105"/>
      <c r="E99" s="1305"/>
      <c r="F99" s="1225"/>
      <c r="G99" s="1303"/>
      <c r="H99" s="1291"/>
      <c r="I99" s="1311"/>
      <c r="J99" s="1308"/>
      <c r="K99" s="1308"/>
      <c r="L99" s="1308"/>
      <c r="M99" s="105"/>
      <c r="N99" s="117"/>
      <c r="O99" s="2"/>
      <c r="P99" s="2"/>
      <c r="Q99" s="2"/>
      <c r="R99" s="2"/>
      <c r="S99" s="2"/>
      <c r="T99" s="2"/>
      <c r="U99" s="2"/>
      <c r="V99" s="2"/>
      <c r="W99" s="2"/>
      <c r="X99" s="18"/>
      <c r="Y99" s="2"/>
      <c r="Z99" s="2"/>
      <c r="AF99" s="969"/>
    </row>
    <row r="100" spans="1:32" ht="20.25" hidden="1" customHeight="1">
      <c r="A100" s="1225"/>
      <c r="B100" s="1225"/>
      <c r="C100" s="105"/>
      <c r="D100" s="105"/>
      <c r="E100" s="1305"/>
      <c r="F100" s="1225"/>
      <c r="G100" s="1303"/>
      <c r="H100" s="1291"/>
      <c r="I100" s="1311"/>
      <c r="J100" s="1308"/>
      <c r="K100" s="1308"/>
      <c r="L100" s="1308"/>
      <c r="M100" s="105"/>
      <c r="N100" s="117"/>
      <c r="O100" s="2"/>
      <c r="P100" s="2"/>
      <c r="Q100" s="2"/>
      <c r="R100" s="2"/>
      <c r="S100" s="2"/>
      <c r="T100" s="2"/>
      <c r="U100" s="2"/>
      <c r="V100" s="2"/>
      <c r="W100" s="2"/>
      <c r="X100" s="18"/>
      <c r="Y100" s="2"/>
      <c r="Z100" s="2"/>
      <c r="AF100" s="969"/>
    </row>
    <row r="101" spans="1:32" ht="20.25" hidden="1" customHeight="1">
      <c r="A101" s="1225"/>
      <c r="B101" s="1225"/>
      <c r="C101" s="105"/>
      <c r="D101" s="105"/>
      <c r="E101" s="1305"/>
      <c r="F101" s="1225"/>
      <c r="G101" s="1303"/>
      <c r="H101" s="1291"/>
      <c r="I101" s="1311"/>
      <c r="J101" s="1308"/>
      <c r="K101" s="1308"/>
      <c r="L101" s="1308"/>
      <c r="M101" s="105"/>
      <c r="N101" s="117"/>
      <c r="O101" s="2"/>
      <c r="P101" s="2"/>
      <c r="Q101" s="2"/>
      <c r="R101" s="2"/>
      <c r="S101" s="2"/>
      <c r="T101" s="2"/>
      <c r="U101" s="2"/>
      <c r="V101" s="2"/>
      <c r="W101" s="2"/>
      <c r="X101" s="18"/>
      <c r="Y101" s="2"/>
      <c r="Z101" s="2"/>
      <c r="AF101" s="969"/>
    </row>
    <row r="102" spans="1:32" ht="20.25" hidden="1" customHeight="1">
      <c r="A102" s="1225"/>
      <c r="B102" s="910"/>
      <c r="C102" s="105"/>
      <c r="D102" s="105"/>
      <c r="E102" s="1305"/>
      <c r="F102" s="1225"/>
      <c r="G102" s="1303"/>
      <c r="H102" s="1291"/>
      <c r="I102" s="1311"/>
      <c r="J102" s="1308"/>
      <c r="K102" s="1308"/>
      <c r="L102" s="1308"/>
      <c r="M102" s="105"/>
      <c r="N102" s="117"/>
      <c r="O102" s="2"/>
      <c r="P102" s="2"/>
      <c r="Q102" s="2"/>
      <c r="R102" s="2"/>
      <c r="S102" s="2"/>
      <c r="T102" s="2"/>
      <c r="U102" s="2"/>
      <c r="V102" s="2"/>
      <c r="W102" s="2"/>
      <c r="X102" s="18"/>
      <c r="Y102" s="2"/>
      <c r="Z102" s="2"/>
      <c r="AF102" s="969"/>
    </row>
    <row r="103" spans="1:32" ht="20.25" hidden="1" customHeight="1">
      <c r="A103" s="1146"/>
      <c r="B103" s="1225"/>
      <c r="C103" s="105"/>
      <c r="D103" s="105"/>
      <c r="E103" s="83"/>
      <c r="F103" s="1225"/>
      <c r="G103" s="1306"/>
      <c r="H103" s="1291"/>
      <c r="I103" s="1311"/>
      <c r="J103" s="1308"/>
      <c r="K103" s="1308"/>
      <c r="L103" s="1308"/>
      <c r="M103" s="105"/>
      <c r="N103" s="117"/>
      <c r="O103" s="2"/>
      <c r="P103" s="2"/>
      <c r="Q103" s="2"/>
      <c r="R103" s="2"/>
      <c r="S103" s="2"/>
      <c r="T103" s="2"/>
      <c r="U103" s="2"/>
      <c r="V103" s="2"/>
      <c r="W103" s="2"/>
      <c r="X103" s="18"/>
      <c r="Y103" s="2"/>
      <c r="Z103" s="2"/>
      <c r="AF103" s="969"/>
    </row>
    <row r="104" spans="1:32" ht="20.25" hidden="1" customHeight="1">
      <c r="A104" s="1146"/>
      <c r="B104" s="1225"/>
      <c r="C104" s="105"/>
      <c r="D104" s="105"/>
      <c r="E104" s="83"/>
      <c r="F104" s="1225"/>
      <c r="G104" s="1306"/>
      <c r="H104" s="1291"/>
      <c r="I104" s="1311"/>
      <c r="J104" s="1308"/>
      <c r="K104" s="1308"/>
      <c r="L104" s="1308"/>
      <c r="M104" s="105"/>
      <c r="N104" s="117"/>
      <c r="O104" s="2"/>
      <c r="P104" s="2"/>
      <c r="Q104" s="2"/>
      <c r="R104" s="2"/>
      <c r="S104" s="2"/>
      <c r="T104" s="2"/>
      <c r="U104" s="2"/>
      <c r="V104" s="2"/>
      <c r="W104" s="2"/>
      <c r="X104" s="18"/>
      <c r="Y104" s="2"/>
      <c r="Z104" s="2"/>
      <c r="AF104" s="969"/>
    </row>
    <row r="105" spans="1:32" ht="58.2" hidden="1" customHeight="1">
      <c r="A105" s="1225"/>
      <c r="B105" s="1225"/>
      <c r="C105" s="105"/>
      <c r="D105" s="105"/>
      <c r="E105" s="105"/>
      <c r="F105" s="1308"/>
      <c r="G105" s="1308"/>
      <c r="H105" s="1308"/>
      <c r="I105" s="1308"/>
      <c r="J105" s="1308"/>
      <c r="K105" s="1308"/>
      <c r="L105" s="1308"/>
      <c r="M105" s="1307"/>
      <c r="N105" s="117"/>
      <c r="O105" s="2"/>
      <c r="P105" s="2"/>
      <c r="Q105" s="2"/>
      <c r="R105" s="2"/>
      <c r="S105" s="2"/>
      <c r="T105" s="2"/>
      <c r="U105" s="2"/>
      <c r="V105" s="2"/>
      <c r="W105" s="2"/>
      <c r="X105" s="18"/>
      <c r="Y105" s="2"/>
      <c r="Z105" s="2"/>
      <c r="AF105" s="969"/>
    </row>
    <row r="106" spans="1:32" ht="20.25" hidden="1" customHeight="1">
      <c r="A106" s="1225"/>
      <c r="B106" s="1225"/>
      <c r="C106" s="105"/>
      <c r="D106" s="105"/>
      <c r="E106" s="105"/>
      <c r="F106" s="1225"/>
      <c r="G106" s="1303"/>
      <c r="H106" s="1291"/>
      <c r="I106" s="1311"/>
      <c r="J106" s="1308"/>
      <c r="K106" s="1308"/>
      <c r="L106" s="1308"/>
      <c r="M106" s="105"/>
      <c r="N106" s="117"/>
      <c r="O106" s="2"/>
      <c r="P106" s="2"/>
      <c r="Q106" s="2"/>
      <c r="R106" s="2"/>
      <c r="S106" s="2"/>
      <c r="T106" s="2"/>
      <c r="U106" s="2"/>
      <c r="V106" s="2"/>
      <c r="W106" s="2"/>
      <c r="X106" s="18"/>
      <c r="Y106" s="2"/>
      <c r="Z106" s="2"/>
      <c r="AF106" s="969"/>
    </row>
    <row r="107" spans="1:32" ht="20.25" hidden="1" customHeight="1">
      <c r="A107" s="1225"/>
      <c r="B107" s="1225"/>
      <c r="C107" s="105"/>
      <c r="D107" s="105"/>
      <c r="E107" s="105"/>
      <c r="F107" s="1225"/>
      <c r="G107" s="1303"/>
      <c r="H107" s="1291"/>
      <c r="I107" s="1311"/>
      <c r="J107" s="1308"/>
      <c r="K107" s="1308"/>
      <c r="L107" s="1308"/>
      <c r="M107" s="105"/>
      <c r="N107" s="117"/>
      <c r="O107" s="2"/>
      <c r="P107" s="2"/>
      <c r="Q107" s="2"/>
      <c r="R107" s="2"/>
      <c r="S107" s="2"/>
      <c r="T107" s="2"/>
      <c r="U107" s="2"/>
      <c r="V107" s="2"/>
      <c r="W107" s="2"/>
      <c r="X107" s="18"/>
      <c r="Y107" s="2"/>
      <c r="Z107" s="2"/>
      <c r="AF107" s="969"/>
    </row>
    <row r="108" spans="1:32" ht="20.25" hidden="1" customHeight="1">
      <c r="A108" s="1225"/>
      <c r="B108" s="1225"/>
      <c r="C108" s="105"/>
      <c r="D108" s="105"/>
      <c r="E108" s="105"/>
      <c r="F108" s="1225"/>
      <c r="G108" s="1303"/>
      <c r="H108" s="1291"/>
      <c r="I108" s="1311"/>
      <c r="J108" s="1308"/>
      <c r="K108" s="1308"/>
      <c r="L108" s="1308"/>
      <c r="M108" s="105"/>
      <c r="N108" s="117"/>
      <c r="O108" s="2"/>
      <c r="P108" s="2"/>
      <c r="Q108" s="2"/>
      <c r="R108" s="2"/>
      <c r="S108" s="2"/>
      <c r="T108" s="2"/>
      <c r="U108" s="2"/>
      <c r="V108" s="2"/>
      <c r="W108" s="2"/>
      <c r="X108" s="18"/>
      <c r="Y108" s="2"/>
      <c r="Z108" s="2"/>
      <c r="AF108" s="969"/>
    </row>
    <row r="109" spans="1:32" ht="20.25" hidden="1" customHeight="1">
      <c r="A109" s="1225"/>
      <c r="B109" s="1225"/>
      <c r="C109" s="105"/>
      <c r="D109" s="105"/>
      <c r="E109" s="105"/>
      <c r="F109" s="1225"/>
      <c r="G109" s="1303"/>
      <c r="H109" s="1291"/>
      <c r="I109" s="1311"/>
      <c r="J109" s="1308"/>
      <c r="K109" s="1308"/>
      <c r="L109" s="1308"/>
      <c r="M109" s="105"/>
      <c r="N109" s="117"/>
      <c r="O109" s="2"/>
      <c r="P109" s="2"/>
      <c r="Q109" s="2"/>
      <c r="R109" s="2"/>
      <c r="S109" s="2"/>
      <c r="T109" s="2"/>
      <c r="U109" s="2"/>
      <c r="V109" s="2"/>
      <c r="W109" s="2"/>
      <c r="X109" s="18"/>
      <c r="Y109" s="2"/>
      <c r="Z109" s="2"/>
      <c r="AF109" s="969"/>
    </row>
    <row r="110" spans="1:32" ht="20.25" hidden="1" customHeight="1">
      <c r="A110" s="1225"/>
      <c r="B110" s="1225"/>
      <c r="C110" s="105"/>
      <c r="D110" s="105"/>
      <c r="E110" s="105"/>
      <c r="F110" s="1225"/>
      <c r="G110" s="1303"/>
      <c r="H110" s="1291"/>
      <c r="I110" s="1311"/>
      <c r="J110" s="1308"/>
      <c r="K110" s="1308"/>
      <c r="L110" s="1308"/>
      <c r="M110" s="105"/>
      <c r="N110" s="117"/>
      <c r="O110" s="2"/>
      <c r="P110" s="2"/>
      <c r="Q110" s="2"/>
      <c r="R110" s="2"/>
      <c r="S110" s="2"/>
      <c r="T110" s="2"/>
      <c r="U110" s="2"/>
      <c r="V110" s="2"/>
      <c r="W110" s="2"/>
      <c r="X110" s="18"/>
      <c r="Y110" s="2"/>
      <c r="Z110" s="2"/>
      <c r="AF110" s="969"/>
    </row>
    <row r="111" spans="1:32" ht="20.25" hidden="1" customHeight="1">
      <c r="A111" s="1225"/>
      <c r="B111" s="1225"/>
      <c r="C111" s="105"/>
      <c r="D111" s="105"/>
      <c r="E111" s="105"/>
      <c r="F111" s="1225"/>
      <c r="G111" s="1303"/>
      <c r="H111" s="1291"/>
      <c r="I111" s="1311"/>
      <c r="J111" s="1308"/>
      <c r="K111" s="1308"/>
      <c r="L111" s="1308"/>
      <c r="M111" s="105"/>
      <c r="N111" s="117"/>
      <c r="O111" s="2"/>
      <c r="P111" s="2"/>
      <c r="Q111" s="2"/>
      <c r="R111" s="2"/>
      <c r="S111" s="2"/>
      <c r="T111" s="2"/>
      <c r="U111" s="2"/>
      <c r="V111" s="2"/>
      <c r="W111" s="2"/>
      <c r="X111" s="18"/>
      <c r="Y111" s="2"/>
      <c r="Z111" s="2"/>
      <c r="AF111" s="969"/>
    </row>
    <row r="112" spans="1:32" ht="20.25" hidden="1" customHeight="1">
      <c r="A112" s="1225"/>
      <c r="B112" s="1225"/>
      <c r="C112" s="105"/>
      <c r="D112" s="105"/>
      <c r="E112" s="105"/>
      <c r="F112" s="1225"/>
      <c r="G112" s="1303"/>
      <c r="H112" s="1291"/>
      <c r="I112" s="1311"/>
      <c r="J112" s="1308"/>
      <c r="K112" s="1308"/>
      <c r="L112" s="1308"/>
      <c r="M112" s="105"/>
      <c r="N112" s="128"/>
      <c r="O112" s="2"/>
      <c r="P112" s="2"/>
      <c r="Q112" s="2"/>
      <c r="R112" s="2"/>
      <c r="S112" s="2"/>
      <c r="T112" s="2"/>
      <c r="U112" s="2"/>
      <c r="V112" s="2"/>
      <c r="W112" s="2"/>
      <c r="X112" s="18"/>
      <c r="Y112" s="2"/>
      <c r="Z112" s="2"/>
      <c r="AF112" s="969"/>
    </row>
    <row r="113" spans="1:32" ht="20.25" hidden="1" customHeight="1">
      <c r="A113" s="1225"/>
      <c r="B113" s="1225"/>
      <c r="C113" s="105"/>
      <c r="D113" s="105"/>
      <c r="E113" s="105"/>
      <c r="F113" s="1225"/>
      <c r="G113" s="1303"/>
      <c r="H113" s="1291"/>
      <c r="I113" s="1311"/>
      <c r="J113" s="1308"/>
      <c r="K113" s="1308"/>
      <c r="L113" s="1308"/>
      <c r="M113" s="105"/>
      <c r="N113" s="117"/>
      <c r="O113" s="2"/>
      <c r="P113" s="2"/>
      <c r="Q113" s="2"/>
      <c r="R113" s="2"/>
      <c r="S113" s="2"/>
      <c r="T113" s="2"/>
      <c r="U113" s="2"/>
      <c r="V113" s="2"/>
      <c r="W113" s="2"/>
      <c r="X113" s="18"/>
      <c r="Y113" s="2"/>
      <c r="Z113" s="2"/>
      <c r="AF113" s="969"/>
    </row>
    <row r="114" spans="1:32" ht="20.25" hidden="1" customHeight="1">
      <c r="A114" s="1225"/>
      <c r="B114" s="1146"/>
      <c r="C114" s="105"/>
      <c r="D114" s="105"/>
      <c r="E114" s="105"/>
      <c r="F114" s="1225"/>
      <c r="G114" s="1306"/>
      <c r="H114" s="1291"/>
      <c r="I114" s="1312"/>
      <c r="J114" s="1309"/>
      <c r="K114" s="1309"/>
      <c r="L114" s="1309"/>
      <c r="M114" s="105"/>
      <c r="N114" s="117"/>
      <c r="O114" s="2"/>
      <c r="P114" s="2"/>
      <c r="Q114" s="2"/>
      <c r="R114" s="2"/>
      <c r="S114" s="2"/>
      <c r="T114" s="2"/>
      <c r="U114" s="2"/>
      <c r="V114" s="2"/>
      <c r="W114" s="2"/>
      <c r="X114" s="18"/>
      <c r="Y114" s="2"/>
      <c r="Z114" s="2"/>
      <c r="AF114" s="969"/>
    </row>
    <row r="115" spans="1:32" ht="100.5" hidden="1" customHeight="1">
      <c r="A115" s="1225"/>
      <c r="B115" s="1225"/>
      <c r="C115" s="105"/>
      <c r="D115" s="105"/>
      <c r="E115" s="105"/>
      <c r="F115" s="1225"/>
      <c r="G115" s="1303"/>
      <c r="H115" s="1291"/>
      <c r="I115" s="1309"/>
      <c r="J115" s="1309"/>
      <c r="K115" s="1309"/>
      <c r="L115" s="1309"/>
      <c r="M115" s="1304"/>
      <c r="N115" s="117"/>
      <c r="O115" s="2"/>
      <c r="P115" s="2"/>
      <c r="Q115" s="2"/>
      <c r="R115" s="2"/>
      <c r="S115" s="2"/>
      <c r="T115" s="2"/>
      <c r="U115" s="2"/>
      <c r="V115" s="2"/>
      <c r="W115" s="2"/>
      <c r="X115" s="18"/>
      <c r="Y115" s="2"/>
      <c r="Z115" s="2"/>
      <c r="AF115" s="969"/>
    </row>
    <row r="116" spans="1:32" ht="100.5" hidden="1" customHeight="1">
      <c r="A116" s="1225"/>
      <c r="B116" s="1225"/>
      <c r="C116" s="105"/>
      <c r="D116" s="105"/>
      <c r="E116" s="105"/>
      <c r="F116" s="1225"/>
      <c r="G116" s="1303"/>
      <c r="H116" s="1291"/>
      <c r="I116" s="1309"/>
      <c r="J116" s="1309"/>
      <c r="K116" s="1309"/>
      <c r="L116" s="1309"/>
      <c r="M116" s="1304"/>
      <c r="N116" s="117"/>
      <c r="O116" s="2"/>
      <c r="P116" s="2"/>
      <c r="Q116" s="2"/>
      <c r="R116" s="2"/>
      <c r="S116" s="2"/>
      <c r="T116" s="2"/>
      <c r="U116" s="2"/>
      <c r="V116" s="2"/>
      <c r="W116" s="2"/>
      <c r="X116" s="18"/>
      <c r="Y116" s="2"/>
      <c r="Z116" s="2"/>
      <c r="AF116" s="969"/>
    </row>
    <row r="117" spans="1:32" ht="72.75" hidden="1" customHeight="1">
      <c r="A117" s="1225"/>
      <c r="B117" s="1225"/>
      <c r="C117" s="105"/>
      <c r="D117" s="105"/>
      <c r="E117" s="105"/>
      <c r="F117" s="1225"/>
      <c r="G117" s="1303"/>
      <c r="H117" s="1291"/>
      <c r="I117" s="1309"/>
      <c r="J117" s="1309"/>
      <c r="K117" s="1309"/>
      <c r="L117" s="1309"/>
      <c r="M117" s="1304"/>
      <c r="AF117" s="969"/>
    </row>
    <row r="118" spans="1:32" ht="70.5" hidden="1" customHeight="1">
      <c r="A118" s="1225"/>
      <c r="B118" s="83"/>
      <c r="C118" s="1313"/>
      <c r="D118" s="105"/>
      <c r="E118" s="105"/>
      <c r="F118" s="1225"/>
      <c r="G118" s="1303"/>
      <c r="H118" s="1291"/>
      <c r="I118" s="1309"/>
      <c r="J118" s="1309"/>
      <c r="K118" s="1309"/>
      <c r="L118" s="1309"/>
      <c r="M118" s="1304"/>
      <c r="AF118" s="969"/>
    </row>
    <row r="119" spans="1:32" ht="20.25" hidden="1" customHeight="1">
      <c r="A119" s="2"/>
      <c r="B119" s="2"/>
      <c r="C119" s="2"/>
      <c r="D119" s="2"/>
      <c r="E119" s="2"/>
      <c r="G119" s="2"/>
      <c r="H119" s="107"/>
      <c r="I119" s="107"/>
      <c r="J119" s="107"/>
      <c r="K119" s="107"/>
      <c r="L119" s="107"/>
      <c r="M119" s="102"/>
      <c r="AF119" s="969"/>
    </row>
    <row r="120" spans="1:32" ht="20.25" hidden="1" customHeight="1">
      <c r="AF120" s="969"/>
    </row>
    <row r="121" spans="1:32" ht="20.25" hidden="1" customHeight="1">
      <c r="AF121" s="969"/>
    </row>
    <row r="122" spans="1:32" ht="20.25" hidden="1" customHeight="1">
      <c r="AF122" s="969"/>
    </row>
    <row r="123" spans="1:32" ht="20.25" hidden="1" customHeight="1">
      <c r="AF123" s="969"/>
    </row>
    <row r="124" spans="1:32" ht="20.25" hidden="1" customHeight="1">
      <c r="AF124" s="969"/>
    </row>
    <row r="125" spans="1:32" ht="20.25" hidden="1" customHeight="1">
      <c r="AF125" s="969"/>
    </row>
    <row r="126" spans="1:32" ht="20.25" hidden="1" customHeight="1">
      <c r="AF126" s="969"/>
    </row>
    <row r="127" spans="1:32" ht="20.25" hidden="1" customHeight="1">
      <c r="AF127" s="969"/>
    </row>
    <row r="128" spans="1:32" ht="20.25" hidden="1" customHeight="1">
      <c r="AF128" s="969"/>
    </row>
    <row r="129" spans="32:32" ht="20.25" hidden="1" customHeight="1">
      <c r="AF129" s="969"/>
    </row>
    <row r="130" spans="32:32" ht="20.25" hidden="1" customHeight="1">
      <c r="AF130" s="969"/>
    </row>
    <row r="131" spans="32:32" ht="20.25" hidden="1" customHeight="1">
      <c r="AF131" s="969"/>
    </row>
    <row r="132" spans="32:32" ht="20.25" hidden="1" customHeight="1">
      <c r="AF132" s="969"/>
    </row>
    <row r="133" spans="32:32" ht="20.25" hidden="1" customHeight="1">
      <c r="AF133" s="969"/>
    </row>
    <row r="134" spans="32:32" ht="20.25" hidden="1" customHeight="1">
      <c r="AF134" s="969"/>
    </row>
    <row r="135" spans="32:32" ht="20.25" hidden="1" customHeight="1">
      <c r="AF135" s="969"/>
    </row>
    <row r="136" spans="32:32" ht="20.25" hidden="1" customHeight="1">
      <c r="AF136" s="969"/>
    </row>
    <row r="137" spans="32:32" ht="20.25" hidden="1" customHeight="1">
      <c r="AF137" s="969"/>
    </row>
    <row r="138" spans="32:32" ht="20.25" hidden="1" customHeight="1">
      <c r="AF138" s="969"/>
    </row>
    <row r="139" spans="32:32" ht="20.25" hidden="1" customHeight="1">
      <c r="AF139" s="969"/>
    </row>
    <row r="140" spans="32:32" ht="20.25" hidden="1" customHeight="1">
      <c r="AF140" s="969"/>
    </row>
    <row r="141" spans="32:32" ht="20.25" hidden="1" customHeight="1">
      <c r="AF141" s="969"/>
    </row>
    <row r="142" spans="32:32" ht="20.25" hidden="1" customHeight="1">
      <c r="AF142" s="969"/>
    </row>
    <row r="143" spans="32:32" ht="20.25" hidden="1" customHeight="1">
      <c r="AF143" s="969"/>
    </row>
    <row r="144" spans="32:32" ht="20.25" hidden="1" customHeight="1">
      <c r="AF144" s="969"/>
    </row>
    <row r="145" spans="32:32" ht="20.25" hidden="1" customHeight="1">
      <c r="AF145" s="969"/>
    </row>
    <row r="146" spans="32:32" ht="20.25" hidden="1" customHeight="1">
      <c r="AF146" s="969"/>
    </row>
    <row r="147" spans="32:32" ht="20.25" hidden="1" customHeight="1">
      <c r="AF147" s="969"/>
    </row>
    <row r="148" spans="32:32" ht="20.25" hidden="1" customHeight="1">
      <c r="AF148" s="969"/>
    </row>
    <row r="149" spans="32:32" ht="20.25" hidden="1" customHeight="1">
      <c r="AF149" s="969"/>
    </row>
    <row r="150" spans="32:32" ht="20.25" hidden="1" customHeight="1">
      <c r="AF150" s="969"/>
    </row>
    <row r="151" spans="32:32" ht="20.25" hidden="1" customHeight="1">
      <c r="AF151" s="969"/>
    </row>
    <row r="152" spans="32:32" ht="20.25" hidden="1" customHeight="1">
      <c r="AF152" s="969"/>
    </row>
    <row r="153" spans="32:32" ht="20.25" hidden="1" customHeight="1">
      <c r="AF153" s="969"/>
    </row>
    <row r="154" spans="32:32" ht="20.25" hidden="1" customHeight="1">
      <c r="AF154" s="969"/>
    </row>
    <row r="155" spans="32:32" ht="20.25" hidden="1" customHeight="1">
      <c r="AF155" s="969"/>
    </row>
    <row r="156" spans="32:32" ht="20.25" hidden="1" customHeight="1">
      <c r="AF156" s="969"/>
    </row>
    <row r="157" spans="32:32" ht="20.25" hidden="1" customHeight="1">
      <c r="AF157" s="969"/>
    </row>
    <row r="158" spans="32:32" ht="20.25" hidden="1" customHeight="1">
      <c r="AF158" s="969"/>
    </row>
    <row r="159" spans="32:32" ht="20.25" hidden="1" customHeight="1">
      <c r="AF159" s="969"/>
    </row>
    <row r="160" spans="32:32" ht="20.25" hidden="1" customHeight="1">
      <c r="AF160" s="969"/>
    </row>
    <row r="161" spans="32:32" ht="20.25" hidden="1" customHeight="1">
      <c r="AF161" s="969"/>
    </row>
    <row r="162" spans="32:32" ht="20.25" hidden="1" customHeight="1">
      <c r="AF162" s="969"/>
    </row>
    <row r="163" spans="32:32" ht="20.25" hidden="1" customHeight="1">
      <c r="AF163" s="969"/>
    </row>
    <row r="164" spans="32:32" ht="20.25" hidden="1" customHeight="1">
      <c r="AF164" s="969"/>
    </row>
    <row r="165" spans="32:32" ht="20.25" hidden="1" customHeight="1">
      <c r="AF165" s="969"/>
    </row>
    <row r="166" spans="32:32" ht="20.25" hidden="1" customHeight="1">
      <c r="AF166" s="969"/>
    </row>
    <row r="167" spans="32:32" ht="20.25" hidden="1" customHeight="1">
      <c r="AF167" s="969"/>
    </row>
    <row r="168" spans="32:32" ht="20.25" hidden="1" customHeight="1">
      <c r="AF168" s="969"/>
    </row>
    <row r="169" spans="32:32" ht="20.25" hidden="1" customHeight="1">
      <c r="AF169" s="969"/>
    </row>
    <row r="170" spans="32:32" ht="20.25" hidden="1" customHeight="1">
      <c r="AF170" s="969"/>
    </row>
    <row r="171" spans="32:32" ht="20.25" hidden="1" customHeight="1">
      <c r="AF171" s="969"/>
    </row>
    <row r="172" spans="32:32" ht="20.25" hidden="1" customHeight="1">
      <c r="AF172" s="969"/>
    </row>
    <row r="173" spans="32:32" ht="20.25" hidden="1" customHeight="1">
      <c r="AF173" s="969"/>
    </row>
    <row r="174" spans="32:32" ht="20.25" hidden="1" customHeight="1">
      <c r="AF174" s="969"/>
    </row>
    <row r="175" spans="32:32" ht="20.25" hidden="1" customHeight="1">
      <c r="AF175" s="969"/>
    </row>
    <row r="176" spans="32:32" ht="20.25" hidden="1" customHeight="1">
      <c r="AF176" s="969"/>
    </row>
    <row r="177" spans="32:32" ht="20.25" hidden="1" customHeight="1">
      <c r="AF177" s="969"/>
    </row>
    <row r="178" spans="32:32" ht="20.25" hidden="1" customHeight="1">
      <c r="AF178" s="969"/>
    </row>
    <row r="179" spans="32:32" ht="20.25" hidden="1" customHeight="1">
      <c r="AF179" s="969"/>
    </row>
    <row r="180" spans="32:32" ht="20.25" hidden="1" customHeight="1">
      <c r="AF180" s="969"/>
    </row>
    <row r="181" spans="32:32" ht="20.25" hidden="1" customHeight="1">
      <c r="AF181" s="969"/>
    </row>
    <row r="182" spans="32:32" ht="20.25" hidden="1" customHeight="1">
      <c r="AF182" s="969"/>
    </row>
    <row r="183" spans="32:32" ht="20.25" hidden="1" customHeight="1">
      <c r="AF183" s="969"/>
    </row>
    <row r="184" spans="32:32" ht="20.25" hidden="1" customHeight="1">
      <c r="AF184" s="969"/>
    </row>
    <row r="185" spans="32:32" ht="20.25" hidden="1" customHeight="1">
      <c r="AF185" s="969"/>
    </row>
    <row r="186" spans="32:32" ht="20.25" hidden="1" customHeight="1">
      <c r="AF186" s="969"/>
    </row>
    <row r="187" spans="32:32" ht="20.25" hidden="1" customHeight="1">
      <c r="AF187" s="969"/>
    </row>
    <row r="188" spans="32:32" ht="20.25" hidden="1" customHeight="1">
      <c r="AF188" s="969"/>
    </row>
    <row r="189" spans="32:32" ht="20.25" hidden="1" customHeight="1">
      <c r="AF189" s="969"/>
    </row>
    <row r="190" spans="32:32" ht="20.25" hidden="1" customHeight="1">
      <c r="AF190" s="969"/>
    </row>
    <row r="191" spans="32:32" ht="20.25" hidden="1" customHeight="1">
      <c r="AF191" s="969"/>
    </row>
    <row r="192" spans="32:32" ht="20.25" hidden="1" customHeight="1">
      <c r="AF192" s="969"/>
    </row>
    <row r="193" spans="32:32" ht="20.25" hidden="1" customHeight="1">
      <c r="AF193" s="969"/>
    </row>
    <row r="194" spans="32:32" ht="20.25" hidden="1" customHeight="1">
      <c r="AF194" s="969"/>
    </row>
    <row r="195" spans="32:32" ht="20.25" hidden="1" customHeight="1">
      <c r="AF195" s="969"/>
    </row>
    <row r="196" spans="32:32" ht="20.25" hidden="1" customHeight="1">
      <c r="AF196" s="969"/>
    </row>
    <row r="197" spans="32:32" ht="20.25" hidden="1" customHeight="1">
      <c r="AF197" s="969"/>
    </row>
    <row r="198" spans="32:32" ht="20.25" hidden="1" customHeight="1">
      <c r="AF198" s="969"/>
    </row>
    <row r="199" spans="32:32" ht="20.25" hidden="1" customHeight="1">
      <c r="AF199" s="969"/>
    </row>
    <row r="200" spans="32:32" ht="20.25" hidden="1" customHeight="1">
      <c r="AF200" s="969"/>
    </row>
    <row r="201" spans="32:32" ht="20.25" hidden="1" customHeight="1">
      <c r="AF201" s="969"/>
    </row>
    <row r="202" spans="32:32" ht="20.25" hidden="1" customHeight="1">
      <c r="AF202" s="969"/>
    </row>
    <row r="203" spans="32:32" ht="20.25" hidden="1" customHeight="1">
      <c r="AF203" s="969"/>
    </row>
    <row r="204" spans="32:32" ht="20.25" hidden="1" customHeight="1">
      <c r="AF204" s="969"/>
    </row>
    <row r="205" spans="32:32" ht="20.25" hidden="1" customHeight="1">
      <c r="AF205" s="969"/>
    </row>
    <row r="206" spans="32:32" ht="20.25" hidden="1" customHeight="1">
      <c r="AF206" s="969"/>
    </row>
    <row r="207" spans="32:32" ht="20.25" hidden="1" customHeight="1">
      <c r="AF207" s="969"/>
    </row>
    <row r="208" spans="32:32" ht="20.25" hidden="1" customHeight="1">
      <c r="AF208" s="969"/>
    </row>
    <row r="209" spans="32:32" ht="20.25" hidden="1" customHeight="1">
      <c r="AF209" s="969"/>
    </row>
    <row r="210" spans="32:32" ht="20.25" hidden="1" customHeight="1">
      <c r="AF210" s="969"/>
    </row>
    <row r="211" spans="32:32" ht="20.25" hidden="1" customHeight="1">
      <c r="AF211" s="969"/>
    </row>
    <row r="212" spans="32:32" ht="20.25" hidden="1" customHeight="1">
      <c r="AF212" s="969"/>
    </row>
    <row r="213" spans="32:32" ht="20.25" hidden="1" customHeight="1">
      <c r="AF213" s="969"/>
    </row>
    <row r="214" spans="32:32" ht="20.25" hidden="1" customHeight="1">
      <c r="AF214" s="969"/>
    </row>
    <row r="215" spans="32:32" ht="20.25" hidden="1" customHeight="1">
      <c r="AF215" s="969"/>
    </row>
    <row r="216" spans="32:32" ht="20.25" hidden="1" customHeight="1">
      <c r="AF216" s="969"/>
    </row>
    <row r="217" spans="32:32" ht="20.25" hidden="1" customHeight="1">
      <c r="AF217" s="969"/>
    </row>
    <row r="218" spans="32:32" ht="20.25" hidden="1" customHeight="1">
      <c r="AF218" s="969"/>
    </row>
    <row r="219" spans="32:32" ht="20.25" hidden="1" customHeight="1">
      <c r="AF219" s="969"/>
    </row>
    <row r="220" spans="32:32" ht="20.25" hidden="1" customHeight="1">
      <c r="AF220" s="969"/>
    </row>
    <row r="221" spans="32:32" ht="20.25" hidden="1" customHeight="1">
      <c r="AF221" s="969"/>
    </row>
    <row r="222" spans="32:32" ht="20.25" hidden="1" customHeight="1">
      <c r="AF222" s="969"/>
    </row>
    <row r="223" spans="32:32" ht="20.25" hidden="1" customHeight="1">
      <c r="AF223" s="969"/>
    </row>
    <row r="224" spans="32:32" ht="20.25" hidden="1" customHeight="1">
      <c r="AF224" s="969"/>
    </row>
    <row r="225" spans="32:32" ht="20.25" hidden="1" customHeight="1">
      <c r="AF225" s="969"/>
    </row>
    <row r="226" spans="32:32" ht="20.25" hidden="1" customHeight="1">
      <c r="AF226" s="969"/>
    </row>
    <row r="227" spans="32:32" ht="20.25" hidden="1" customHeight="1">
      <c r="AF227" s="969"/>
    </row>
    <row r="228" spans="32:32" ht="20.25" hidden="1" customHeight="1">
      <c r="AF228" s="969"/>
    </row>
    <row r="229" spans="32:32" ht="20.25" hidden="1" customHeight="1">
      <c r="AF229" s="969"/>
    </row>
    <row r="230" spans="32:32" ht="20.25" hidden="1" customHeight="1">
      <c r="AF230" s="969"/>
    </row>
    <row r="231" spans="32:32" ht="20.25" hidden="1" customHeight="1">
      <c r="AF231" s="969"/>
    </row>
    <row r="232" spans="32:32" ht="20.25" hidden="1" customHeight="1">
      <c r="AF232" s="969"/>
    </row>
    <row r="233" spans="32:32" ht="20.25" hidden="1" customHeight="1">
      <c r="AF233" s="969"/>
    </row>
    <row r="234" spans="32:32" ht="20.25" hidden="1" customHeight="1">
      <c r="AF234" s="969"/>
    </row>
    <row r="235" spans="32:32" ht="20.25" hidden="1" customHeight="1">
      <c r="AF235" s="969"/>
    </row>
    <row r="236" spans="32:32" ht="20.25" hidden="1" customHeight="1">
      <c r="AF236" s="969"/>
    </row>
    <row r="237" spans="32:32" ht="20.25" hidden="1" customHeight="1">
      <c r="AF237" s="969"/>
    </row>
    <row r="238" spans="32:32" ht="20.25" hidden="1" customHeight="1">
      <c r="AF238" s="969"/>
    </row>
    <row r="239" spans="32:32" ht="20.25" hidden="1" customHeight="1">
      <c r="AF239" s="969"/>
    </row>
    <row r="240" spans="32:32" ht="20.25" hidden="1" customHeight="1">
      <c r="AF240" s="969"/>
    </row>
    <row r="241" spans="32:32" ht="20.25" hidden="1" customHeight="1">
      <c r="AF241" s="969"/>
    </row>
    <row r="242" spans="32:32" ht="20.25" hidden="1" customHeight="1">
      <c r="AF242" s="969"/>
    </row>
    <row r="243" spans="32:32" ht="20.25" hidden="1" customHeight="1">
      <c r="AF243" s="969"/>
    </row>
    <row r="244" spans="32:32" ht="20.25" hidden="1" customHeight="1">
      <c r="AF244" s="969"/>
    </row>
    <row r="245" spans="32:32" ht="20.25" hidden="1" customHeight="1">
      <c r="AF245" s="969"/>
    </row>
    <row r="246" spans="32:32" ht="20.25" hidden="1" customHeight="1">
      <c r="AF246" s="969"/>
    </row>
    <row r="247" spans="32:32" ht="20.25" hidden="1" customHeight="1">
      <c r="AF247" s="969"/>
    </row>
    <row r="248" spans="32:32" ht="20.25" hidden="1" customHeight="1">
      <c r="AF248" s="969"/>
    </row>
    <row r="249" spans="32:32" ht="20.25" hidden="1" customHeight="1">
      <c r="AF249" s="969"/>
    </row>
    <row r="250" spans="32:32" ht="20.25" hidden="1" customHeight="1">
      <c r="AF250" s="969"/>
    </row>
    <row r="251" spans="32:32" ht="20.25" hidden="1" customHeight="1">
      <c r="AF251" s="969"/>
    </row>
    <row r="252" spans="32:32" ht="20.25" hidden="1" customHeight="1">
      <c r="AF252" s="969"/>
    </row>
    <row r="253" spans="32:32" ht="20.25" hidden="1" customHeight="1">
      <c r="AF253" s="969"/>
    </row>
    <row r="254" spans="32:32" ht="20.25" hidden="1" customHeight="1">
      <c r="AF254" s="969"/>
    </row>
    <row r="255" spans="32:32" ht="20.25" hidden="1" customHeight="1">
      <c r="AF255" s="969"/>
    </row>
    <row r="256" spans="32:32" ht="20.25" hidden="1" customHeight="1">
      <c r="AF256" s="969"/>
    </row>
  </sheetData>
  <sheetProtection algorithmName="SHA-512" hashValue="eiOCPOUe8YcFQ1+vxhQwyYG7vGpGiI5cwj+3d3YQvVhNnpSZv5jBhKf5yljmYcS4yqCCRKgFwxurPty+nY75dQ==" saltValue="lKJqhSCsPeASlrvwutg8Mg==" spinCount="100000" sheet="1" objects="1" scenarios="1" selectLockedCells="1"/>
  <customSheetViews>
    <customSheetView guid="{BE27EBD8-ED47-4D05-A191-2893A8781B62}" hiddenRows="1" hiddenColumns="1" topLeftCell="F9">
      <selection activeCell="G12" sqref="G12"/>
      <rowBreaks count="3" manualBreakCount="3">
        <brk id="36" min="5" max="12" man="1"/>
        <brk id="77" min="5" max="12" man="1"/>
        <brk id="91" min="5" max="12" man="1"/>
      </rowBreaks>
      <pageMargins left="0.7" right="0.7" top="0.75" bottom="0.75" header="0.3" footer="0.3"/>
      <pageSetup scale="69" orientation="portrait" r:id="rId1"/>
    </customSheetView>
  </customSheetViews>
  <mergeCells count="69">
    <mergeCell ref="L40:M40"/>
    <mergeCell ref="I73:L73"/>
    <mergeCell ref="F75:M75"/>
    <mergeCell ref="F76:L76"/>
    <mergeCell ref="I58:L58"/>
    <mergeCell ref="I59:L59"/>
    <mergeCell ref="I60:L60"/>
    <mergeCell ref="I61:L61"/>
    <mergeCell ref="G48:H48"/>
    <mergeCell ref="I55:L55"/>
    <mergeCell ref="I56:L56"/>
    <mergeCell ref="I57:L57"/>
    <mergeCell ref="I51:L51"/>
    <mergeCell ref="I52:L52"/>
    <mergeCell ref="I54:L54"/>
    <mergeCell ref="L42:M42"/>
    <mergeCell ref="C71:C72"/>
    <mergeCell ref="D71:D72"/>
    <mergeCell ref="I71:L71"/>
    <mergeCell ref="I72:L72"/>
    <mergeCell ref="G62:M62"/>
    <mergeCell ref="I63:L63"/>
    <mergeCell ref="I64:L64"/>
    <mergeCell ref="I65:L65"/>
    <mergeCell ref="I66:L66"/>
    <mergeCell ref="I67:L67"/>
    <mergeCell ref="I68:L68"/>
    <mergeCell ref="I69:L69"/>
    <mergeCell ref="I70:L70"/>
    <mergeCell ref="F1:M1"/>
    <mergeCell ref="F8:L8"/>
    <mergeCell ref="F9:M9"/>
    <mergeCell ref="I22:L22"/>
    <mergeCell ref="I38:M38"/>
    <mergeCell ref="I17:L17"/>
    <mergeCell ref="I18:L18"/>
    <mergeCell ref="I19:L19"/>
    <mergeCell ref="I33:L33"/>
    <mergeCell ref="I12:L12"/>
    <mergeCell ref="I13:L13"/>
    <mergeCell ref="I14:L14"/>
    <mergeCell ref="I20:L20"/>
    <mergeCell ref="I21:L21"/>
    <mergeCell ref="I34:L34"/>
    <mergeCell ref="I31:L31"/>
    <mergeCell ref="S9:V9"/>
    <mergeCell ref="I15:L15"/>
    <mergeCell ref="O62:Q62"/>
    <mergeCell ref="G39:M39"/>
    <mergeCell ref="I23:L23"/>
    <mergeCell ref="I24:L24"/>
    <mergeCell ref="I25:L25"/>
    <mergeCell ref="I26:L26"/>
    <mergeCell ref="I35:L35"/>
    <mergeCell ref="I36:L36"/>
    <mergeCell ref="I27:L27"/>
    <mergeCell ref="I28:L28"/>
    <mergeCell ref="I29:L29"/>
    <mergeCell ref="I30:L30"/>
    <mergeCell ref="I32:L32"/>
    <mergeCell ref="I53:L53"/>
    <mergeCell ref="L47:M47"/>
    <mergeCell ref="I49:L49"/>
    <mergeCell ref="I50:L50"/>
    <mergeCell ref="L43:M43"/>
    <mergeCell ref="L41:M41"/>
    <mergeCell ref="L44:M44"/>
    <mergeCell ref="L45:M45"/>
    <mergeCell ref="L46:M46"/>
  </mergeCells>
  <conditionalFormatting sqref="K41">
    <cfRule type="expression" dxfId="37" priority="12">
      <formula>$I41=""</formula>
    </cfRule>
  </conditionalFormatting>
  <conditionalFormatting sqref="K42">
    <cfRule type="expression" dxfId="36" priority="11">
      <formula>$I42=""</formula>
    </cfRule>
  </conditionalFormatting>
  <conditionalFormatting sqref="K43">
    <cfRule type="expression" dxfId="35" priority="10">
      <formula>$I43=""</formula>
    </cfRule>
  </conditionalFormatting>
  <conditionalFormatting sqref="K44">
    <cfRule type="expression" dxfId="34" priority="9">
      <formula>$I44=""</formula>
    </cfRule>
  </conditionalFormatting>
  <conditionalFormatting sqref="K45">
    <cfRule type="expression" dxfId="33" priority="8">
      <formula>$I45=""</formula>
    </cfRule>
  </conditionalFormatting>
  <conditionalFormatting sqref="K46">
    <cfRule type="expression" dxfId="32" priority="7">
      <formula>$I46=""</formula>
    </cfRule>
  </conditionalFormatting>
  <conditionalFormatting sqref="K47">
    <cfRule type="expression" dxfId="31" priority="6">
      <formula>$I47=""</formula>
    </cfRule>
  </conditionalFormatting>
  <conditionalFormatting sqref="J47">
    <cfRule type="expression" dxfId="30" priority="5">
      <formula>$I47=""</formula>
    </cfRule>
  </conditionalFormatting>
  <conditionalFormatting sqref="J46">
    <cfRule type="expression" dxfId="29" priority="4">
      <formula>$I46=""</formula>
    </cfRule>
  </conditionalFormatting>
  <conditionalFormatting sqref="J45">
    <cfRule type="expression" dxfId="28" priority="3">
      <formula>$I45=""</formula>
    </cfRule>
  </conditionalFormatting>
  <conditionalFormatting sqref="J44">
    <cfRule type="expression" dxfId="27" priority="2">
      <formula>$I44=""</formula>
    </cfRule>
  </conditionalFormatting>
  <conditionalFormatting sqref="I41:I47 G49 G51:G54">
    <cfRule type="expression" dxfId="26" priority="1">
      <formula>$G$38="yes"</formula>
    </cfRule>
  </conditionalFormatting>
  <dataValidations xWindow="196" yWindow="279" count="15">
    <dataValidation operator="greaterThanOrEqual" allowBlank="1" showErrorMessage="1" prompt="Required; enter number zero &quot;0&quot; if supplying the total number of beds instead." sqref="G48"/>
    <dataValidation type="date" allowBlank="1" showInputMessage="1" showErrorMessage="1" errorTitle="Date required" error="Enter date &quot;m/d/yyyy&quot; like &quot;1/1/2000&quot;" prompt="Enter date &quot;m/d/yyyy&quot; like &quot;1/1/2000&quot;" sqref="G12:G13">
      <formula1>1</formula1>
      <formula2>73415</formula2>
    </dataValidation>
    <dataValidation allowBlank="1" showInputMessage="1" showErrorMessage="1" prompt="Enter like (555) 123-4567" sqref="G22 G25 G35 G32 G29"/>
    <dataValidation type="whole" operator="greaterThanOrEqual" allowBlank="1" showErrorMessage="1" prompt="Required; enter number zero &quot;0&quot; if supplying the total number of beds instead." sqref="I48">
      <formula1>0</formula1>
    </dataValidation>
    <dataValidation type="list" allowBlank="1" showInputMessage="1" showErrorMessage="1" prompt="Choose &quot;Yes&quot; or &quot;No&quot; from List." sqref="G60">
      <formula1>$T$13:$T$14</formula1>
    </dataValidation>
    <dataValidation type="date" allowBlank="1" showInputMessage="1" showErrorMessage="1" errorTitle="Date required" error="Enter date &quot;m/d/yyyy&quot; like &quot;1/1/2000&quot;" prompt="Enter date &quot;m/d/yyyy&quot; like &quot;1/1/2000&quot;; if not applicable, enter &quot;1/1/1900&quot;." sqref="G55">
      <formula1>1</formula1>
      <formula2>73415</formula2>
    </dataValidation>
    <dataValidation type="date" allowBlank="1" showInputMessage="1" showErrorMessage="1" errorTitle="Date required" error="Enter date &quot;mm/dd/yyyy&quot; like &quot;1/1/2000&quot;" prompt="Enter date &quot;m/d/yyyy&quot; like &quot;1/1/2000&quot;; if not applicable, enter &quot;1/1/1900&quot;." sqref="G56">
      <formula1>1</formula1>
      <formula2>73415</formula2>
    </dataValidation>
    <dataValidation type="decimal" operator="lessThanOrEqual" allowBlank="1" showInputMessage="1" showErrorMessage="1" error="numbers only in this field!" sqref="G61">
      <formula1>1000000000</formula1>
    </dataValidation>
    <dataValidation type="date" allowBlank="1" showInputMessage="1" showErrorMessage="1" errorTitle="Date required" error="Enter date &quot;mm/dd/yyyy&quot; like &quot;1/1/2000&quot;" prompt="Enter date &quot;m/yyyy&quot; like &quot;1/2000&quot;; if not applicable, enter &quot;1/1900&quot;." sqref="G53">
      <formula1>1</formula1>
      <formula2>73415</formula2>
    </dataValidation>
    <dataValidation operator="greaterThanOrEqual" allowBlank="1" showInputMessage="1" showErrorMessage="1" error="numbers only in this field!" sqref="G72:G73 G62"/>
    <dataValidation type="whole" operator="greaterThanOrEqual" allowBlank="1" showInputMessage="1" showErrorMessage="1" error="numbers only in this field!" sqref="G106:G118 G49:G52 G96:G104 G57:G59 K78:K87 I78:I87">
      <formula1>0</formula1>
    </dataValidation>
    <dataValidation type="list" allowBlank="1" showInputMessage="1" showErrorMessage="1" sqref="G14">
      <formula1>ProjectList2</formula1>
    </dataValidation>
    <dataValidation type="whole" allowBlank="1" showInputMessage="1" showErrorMessage="1" sqref="I42:I47">
      <formula1>1</formula1>
      <formula2>450</formula2>
    </dataValidation>
    <dataValidation type="whole" allowBlank="1" showInputMessage="1" showErrorMessage="1" error="Enter numbers only. If building does not have certain unit types, leave blank. " sqref="I41">
      <formula1>1</formula1>
      <formula2>450</formula2>
    </dataValidation>
    <dataValidation type="list" operator="greaterThanOrEqual" allowBlank="1" showInputMessage="1" showErrorMessage="1" error="Choose Yes or No, please." sqref="G38 G54 G63:G71">
      <formula1>$T$13:$T$14</formula1>
    </dataValidation>
  </dataValidations>
  <hyperlinks>
    <hyperlink ref="H60" location="Repairs" display="# 6"/>
    <hyperlink ref="H63:H72" location="'6. Services Funding'!A1" display="Go To WS6"/>
    <hyperlink ref="H61" location="Repairs" display="# 6"/>
    <hyperlink ref="H63" location="ServicesProvided" display="Go To WS6"/>
    <hyperlink ref="H64:H73" location="ServicesProvided" display="Go To WS6"/>
    <hyperlink ref="H57" location="Violations" display="# 5"/>
    <hyperlink ref="H51" location="VacUnitRentUpTime" display="#3"/>
    <hyperlink ref="H54" location="NarrativeAffirmMarketing" display="# 4"/>
  </hyperlinks>
  <pageMargins left="0.6" right="0.6" top="0.75" bottom="0.75" header="0.3" footer="0.3"/>
  <pageSetup scale="67" orientation="portrait" r:id="rId2"/>
  <rowBreaks count="5" manualBreakCount="5">
    <brk id="36" min="5" max="12" man="1"/>
    <brk id="54" min="5" max="12" man="1"/>
    <brk id="61" min="5" max="12" man="1"/>
    <brk id="73" min="5" max="12" man="1"/>
    <brk id="94" min="5" max="12"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55"/>
  <sheetViews>
    <sheetView showGridLines="0" topLeftCell="G2" zoomScale="90" zoomScaleNormal="90" workbookViewId="0">
      <selection activeCell="H7" sqref="H7"/>
    </sheetView>
  </sheetViews>
  <sheetFormatPr defaultColWidth="0" defaultRowHeight="13.2" zeroHeight="1"/>
  <cols>
    <col min="1" max="3" width="9.109375" style="298" hidden="1" customWidth="1"/>
    <col min="4" max="4" width="11.88671875" style="298" hidden="1" customWidth="1"/>
    <col min="5" max="5" width="11.109375" style="298" hidden="1" customWidth="1"/>
    <col min="6" max="6" width="9.109375" style="298" hidden="1" customWidth="1"/>
    <col min="7" max="7" width="7.5546875" style="298" customWidth="1"/>
    <col min="8" max="10" width="12.6640625" style="298" customWidth="1"/>
    <col min="11" max="11" width="15.33203125" style="298" customWidth="1"/>
    <col min="12" max="12" width="9.109375" style="298" customWidth="1"/>
    <col min="13" max="13" width="20" style="298" customWidth="1"/>
    <col min="14" max="14" width="9.88671875" style="298" customWidth="1"/>
    <col min="15" max="15" width="35.33203125" style="298" customWidth="1"/>
    <col min="16" max="16" width="34.88671875" style="298" customWidth="1"/>
    <col min="17" max="17" width="8.33203125" style="298" customWidth="1"/>
    <col min="18" max="19" width="25.6640625" style="298" hidden="1" customWidth="1"/>
    <col min="20" max="20" width="25.88671875" style="298" hidden="1" customWidth="1"/>
    <col min="21" max="16384" width="9.109375" style="298" hidden="1"/>
  </cols>
  <sheetData>
    <row r="1" spans="1:16" ht="168" hidden="1" customHeight="1">
      <c r="G1" s="1866"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H1" s="1866"/>
      <c r="I1" s="1866"/>
      <c r="J1" s="1866"/>
      <c r="K1" s="1866"/>
      <c r="L1" s="1866"/>
      <c r="M1" s="1866"/>
      <c r="N1" s="1866"/>
      <c r="O1" s="1866"/>
      <c r="P1" s="1866"/>
    </row>
    <row r="2" spans="1:16" ht="28.5" customHeight="1">
      <c r="G2" s="1408" t="str">
        <f>IF(' 1A.Prop&amp;Residents'!$G$38="","",IF(' 1A.Prop&amp;Residents'!$G$38="yes","Complete this worksheet","Skip this worksheet"))</f>
        <v/>
      </c>
      <c r="H2" s="1214"/>
      <c r="I2" s="1214"/>
      <c r="J2" s="1214"/>
      <c r="K2" s="1214"/>
      <c r="L2" s="1214"/>
      <c r="M2" s="1214"/>
      <c r="N2" s="1214"/>
      <c r="O2" s="1214"/>
    </row>
    <row r="3" spans="1:16" ht="42" customHeight="1">
      <c r="G3" s="1867" t="str">
        <f>'Completeness Tracker'!$O$23&amp;" "&amp;'Completeness Tracker'!$O$29&amp;" - "&amp;'Completeness Tracker'!$O$24&amp;'Completeness Tracker'!$O$39</f>
        <v>Annual Monitoring Report - Transitional Programs - Reporting Year 2018 - Mayor's Office of Housing &amp; Community Development</v>
      </c>
      <c r="H3" s="1868"/>
      <c r="I3" s="1868"/>
      <c r="J3" s="1868"/>
      <c r="K3" s="1868"/>
      <c r="L3" s="1868"/>
      <c r="M3" s="1868"/>
      <c r="N3" s="1868"/>
      <c r="O3" s="1868"/>
      <c r="P3" s="1868"/>
    </row>
    <row r="4" spans="1:16" ht="17.399999999999999">
      <c r="G4" s="1860" t="s">
        <v>355</v>
      </c>
      <c r="H4" s="1861"/>
      <c r="I4" s="1862" t="str">
        <f>' 1A.Prop&amp;Residents'!S9</f>
        <v/>
      </c>
      <c r="J4" s="1862"/>
      <c r="K4" s="1862"/>
      <c r="L4" s="1862"/>
      <c r="M4" s="1862"/>
      <c r="N4" s="429"/>
      <c r="O4" s="429"/>
      <c r="P4" s="429"/>
    </row>
    <row r="5" spans="1:16" ht="40.5" customHeight="1">
      <c r="G5" s="1854" t="s">
        <v>783</v>
      </c>
      <c r="H5" s="1855"/>
      <c r="I5" s="1855"/>
      <c r="J5" s="1855"/>
      <c r="K5" s="1855"/>
      <c r="L5" s="1855"/>
      <c r="M5" s="1855"/>
      <c r="N5" s="1855"/>
      <c r="O5" s="1855"/>
      <c r="P5" s="1856"/>
    </row>
    <row r="6" spans="1:16" ht="59.25" customHeight="1">
      <c r="A6"/>
      <c r="G6" s="336"/>
      <c r="H6" s="337" t="s">
        <v>449</v>
      </c>
      <c r="I6" s="337" t="s">
        <v>315</v>
      </c>
      <c r="J6" s="337" t="s">
        <v>316</v>
      </c>
      <c r="K6" s="337" t="s">
        <v>317</v>
      </c>
      <c r="L6" s="671" t="s">
        <v>779</v>
      </c>
    </row>
    <row r="7" spans="1:16" ht="51" customHeight="1" thickBot="1">
      <c r="A7" s="390">
        <f>IF(H7="",0,1)</f>
        <v>0</v>
      </c>
      <c r="B7" s="390">
        <f>IF(I7="",0,1)</f>
        <v>0</v>
      </c>
      <c r="C7" s="390">
        <f>IF(J7="",0,1)</f>
        <v>0</v>
      </c>
      <c r="D7" s="390">
        <f>IF(K7="",0,1)</f>
        <v>0</v>
      </c>
      <c r="E7" s="390">
        <f>IF(L7="",0,1)</f>
        <v>0</v>
      </c>
      <c r="G7" s="342">
        <v>1</v>
      </c>
      <c r="H7" s="306"/>
      <c r="I7" s="306"/>
      <c r="J7" s="306"/>
      <c r="K7" s="306"/>
      <c r="L7" s="675"/>
      <c r="M7" s="676"/>
      <c r="N7" s="677"/>
      <c r="O7" s="677"/>
    </row>
    <row r="8" spans="1:16" ht="18" customHeight="1" thickBot="1">
      <c r="G8" s="342">
        <f>G7+1</f>
        <v>2</v>
      </c>
      <c r="H8" s="1882">
        <f>H7+I7</f>
        <v>0</v>
      </c>
      <c r="I8" s="1883"/>
      <c r="J8" s="672"/>
      <c r="K8" s="673"/>
      <c r="L8" s="678" t="s">
        <v>321</v>
      </c>
      <c r="M8" s="679"/>
      <c r="N8" s="680"/>
      <c r="O8" s="681"/>
      <c r="P8" s="674"/>
    </row>
    <row r="9" spans="1:16" ht="37.5" customHeight="1">
      <c r="G9" s="1857" t="s">
        <v>784</v>
      </c>
      <c r="H9" s="1858"/>
      <c r="I9" s="1858"/>
      <c r="J9" s="1858"/>
      <c r="K9" s="1858"/>
      <c r="L9" s="1858"/>
      <c r="M9" s="1858"/>
      <c r="N9" s="1858"/>
      <c r="O9" s="1858"/>
      <c r="P9" s="1859"/>
    </row>
    <row r="10" spans="1:16" ht="41.4">
      <c r="G10" s="339"/>
      <c r="H10" s="340" t="str">
        <f>H6</f>
        <v>A. Num Singles Not in Families</v>
      </c>
      <c r="I10" s="340" t="str">
        <f>I6</f>
        <v>B. Num Families</v>
      </c>
      <c r="J10" s="340" t="str">
        <f>J6</f>
        <v>C1. Num Adults  in Families</v>
      </c>
      <c r="K10" s="340" t="str">
        <f>K6</f>
        <v>C2. Num  Children in Families</v>
      </c>
      <c r="L10" s="341"/>
    </row>
    <row r="11" spans="1:16" ht="18" customHeight="1">
      <c r="A11" s="390">
        <f t="shared" ref="A11:D12" si="0">IF(H11="",0,1)</f>
        <v>0</v>
      </c>
      <c r="B11" s="390">
        <f t="shared" si="0"/>
        <v>0</v>
      </c>
      <c r="C11" s="390">
        <f t="shared" si="0"/>
        <v>0</v>
      </c>
      <c r="D11" s="390">
        <f t="shared" si="0"/>
        <v>0</v>
      </c>
      <c r="G11" s="342">
        <f>G8+1</f>
        <v>3</v>
      </c>
      <c r="H11" s="307"/>
      <c r="I11" s="307"/>
      <c r="J11" s="307"/>
      <c r="K11" s="328"/>
      <c r="L11" s="343" t="s">
        <v>318</v>
      </c>
      <c r="M11" s="344"/>
      <c r="N11" s="344"/>
      <c r="O11" s="345"/>
    </row>
    <row r="12" spans="1:16" ht="18" customHeight="1" thickBot="1">
      <c r="A12" s="390">
        <f t="shared" si="0"/>
        <v>0</v>
      </c>
      <c r="B12" s="390">
        <f t="shared" si="0"/>
        <v>0</v>
      </c>
      <c r="C12" s="390">
        <f t="shared" si="0"/>
        <v>0</v>
      </c>
      <c r="D12" s="390">
        <f t="shared" si="0"/>
        <v>0</v>
      </c>
      <c r="G12" s="342">
        <f t="shared" ref="G12:G17" si="1">G11+1</f>
        <v>4</v>
      </c>
      <c r="H12" s="308"/>
      <c r="I12" s="308"/>
      <c r="J12" s="306"/>
      <c r="K12" s="327"/>
      <c r="L12" s="343" t="s">
        <v>319</v>
      </c>
      <c r="M12" s="344"/>
      <c r="N12" s="344"/>
      <c r="O12" s="345"/>
    </row>
    <row r="13" spans="1:16" ht="18" thickBot="1">
      <c r="A13" s="392"/>
      <c r="G13" s="342">
        <f t="shared" si="1"/>
        <v>5</v>
      </c>
      <c r="H13" s="1882">
        <f>H11+I11+H12+I12</f>
        <v>0</v>
      </c>
      <c r="I13" s="1883"/>
      <c r="J13" s="338"/>
      <c r="K13" s="338"/>
      <c r="L13" s="385" t="s">
        <v>359</v>
      </c>
      <c r="M13" s="352"/>
      <c r="N13" s="352"/>
      <c r="O13" s="353"/>
    </row>
    <row r="14" spans="1:16" ht="18" customHeight="1">
      <c r="A14" s="390">
        <f>IF(H14="",0,1)</f>
        <v>0</v>
      </c>
      <c r="B14" s="390">
        <f>IF(I14="",0,1)</f>
        <v>0</v>
      </c>
      <c r="C14" s="390">
        <f>IF(J14="",0,1)</f>
        <v>0</v>
      </c>
      <c r="D14" s="390">
        <f>IF(K14="",0,1)</f>
        <v>0</v>
      </c>
      <c r="G14" s="342">
        <f t="shared" si="1"/>
        <v>6</v>
      </c>
      <c r="H14" s="306"/>
      <c r="I14" s="306"/>
      <c r="J14" s="306"/>
      <c r="K14" s="327"/>
      <c r="L14" s="343" t="s">
        <v>320</v>
      </c>
      <c r="M14" s="344"/>
      <c r="N14" s="344"/>
      <c r="O14" s="345"/>
    </row>
    <row r="15" spans="1:16" ht="18.75" customHeight="1" thickBot="1">
      <c r="A15"/>
      <c r="G15" s="342">
        <f t="shared" si="1"/>
        <v>7</v>
      </c>
      <c r="H15" s="346">
        <f>H11+H12-H14</f>
        <v>0</v>
      </c>
      <c r="I15" s="346">
        <f>I11+I12-I14</f>
        <v>0</v>
      </c>
      <c r="J15" s="346">
        <f t="shared" ref="J15:K15" si="2">J11+J12-J14</f>
        <v>0</v>
      </c>
      <c r="K15" s="347">
        <f t="shared" si="2"/>
        <v>0</v>
      </c>
      <c r="L15" s="348" t="s">
        <v>322</v>
      </c>
      <c r="M15" s="349"/>
      <c r="N15" s="349"/>
      <c r="O15" s="350"/>
    </row>
    <row r="16" spans="1:16" ht="18.75" customHeight="1" thickBot="1">
      <c r="G16" s="342">
        <f t="shared" si="1"/>
        <v>8</v>
      </c>
      <c r="H16" s="1877">
        <f>H15+I15</f>
        <v>0</v>
      </c>
      <c r="I16" s="1878"/>
      <c r="J16" s="338"/>
      <c r="K16" s="338"/>
      <c r="L16" s="385" t="s">
        <v>361</v>
      </c>
      <c r="M16" s="352"/>
      <c r="N16" s="352"/>
      <c r="O16" s="353"/>
    </row>
    <row r="17" spans="1:16" ht="18" customHeight="1" thickBot="1">
      <c r="G17" s="342">
        <f t="shared" si="1"/>
        <v>9</v>
      </c>
      <c r="H17" s="1884" t="str">
        <f>IF(H8&gt;0, IF(H16&gt; 0, H16/H8, 0),"")</f>
        <v/>
      </c>
      <c r="I17" s="1885"/>
      <c r="J17" s="351" t="s">
        <v>360</v>
      </c>
      <c r="K17" s="352"/>
      <c r="L17" s="383"/>
      <c r="M17" s="383"/>
      <c r="N17" s="383"/>
      <c r="O17" s="384"/>
      <c r="P17" s="345"/>
    </row>
    <row r="18" spans="1:16" ht="36" customHeight="1">
      <c r="G18" s="354" t="s">
        <v>323</v>
      </c>
      <c r="H18" s="355"/>
      <c r="I18" s="356"/>
      <c r="J18" s="357"/>
      <c r="K18" s="358"/>
      <c r="L18" s="359"/>
      <c r="M18" s="359"/>
      <c r="N18" s="359"/>
      <c r="O18" s="359"/>
      <c r="P18" s="360"/>
    </row>
    <row r="19" spans="1:16" ht="159.9" customHeight="1" thickBot="1">
      <c r="A19" s="390">
        <f>IF(H19="",0,1)</f>
        <v>0</v>
      </c>
      <c r="G19" s="342">
        <f>G17+1</f>
        <v>10</v>
      </c>
      <c r="H19" s="1879"/>
      <c r="I19" s="1880"/>
      <c r="J19" s="1880"/>
      <c r="K19" s="1880"/>
      <c r="L19" s="361" t="s">
        <v>364</v>
      </c>
      <c r="M19" s="344"/>
      <c r="N19" s="344"/>
      <c r="O19" s="344"/>
      <c r="P19" s="345"/>
    </row>
    <row r="20" spans="1:16" ht="159.9" customHeight="1" thickBot="1">
      <c r="A20" s="390">
        <f>IF(H20="",0,1)</f>
        <v>0</v>
      </c>
      <c r="B20" s="668">
        <f>SUM(A7:E7)+SUM(A11:D11)+SUM(A12:D12)+SUM(A14:D14)+SUM(A19:A20)</f>
        <v>0</v>
      </c>
      <c r="C20" s="669" t="s">
        <v>780</v>
      </c>
      <c r="D20" s="670" t="str">
        <f>IF(H17&lt;0.75, IF(B20&gt;=19, "OK", "incomplete"), IF(B20&gt;=17, "OK", "incomplete"))</f>
        <v>incomplete</v>
      </c>
      <c r="E20" s="232" t="s">
        <v>368</v>
      </c>
      <c r="G20" s="342">
        <f>G19+1</f>
        <v>11</v>
      </c>
      <c r="H20" s="1879"/>
      <c r="I20" s="1880"/>
      <c r="J20" s="1880"/>
      <c r="K20" s="1881"/>
      <c r="L20" s="362" t="s">
        <v>365</v>
      </c>
      <c r="M20" s="363"/>
      <c r="N20" s="363"/>
      <c r="O20" s="363"/>
      <c r="P20" s="364"/>
    </row>
    <row r="21" spans="1:16" ht="57.75" customHeight="1">
      <c r="G21" s="365" t="s">
        <v>331</v>
      </c>
      <c r="H21" s="333"/>
      <c r="I21" s="1869" t="str">
        <f>"For the "&amp;H14+I14&amp;" households that LEFT the program during the operating year, how many were in the project for the following lengths of time?  (Total in cell H28 should match total of cells H14 + I14."&amp;" All blanks in this section must be filled with a number of “0” or greater in order for the worksheet to be complete.)"</f>
        <v>For the 0 households that LEFT the program during the operating year, how many were in the project for the following lengths of time?  (Total in cell H28 should match total of cells H14 + I14. All blanks in this section must be filled with a number of “0” or greater in order for the worksheet to be complete.)</v>
      </c>
      <c r="J21" s="1869"/>
      <c r="K21" s="1869"/>
      <c r="L21" s="1869"/>
      <c r="M21" s="1869"/>
      <c r="N21" s="1869"/>
      <c r="O21" s="1869"/>
      <c r="P21" s="1870"/>
    </row>
    <row r="22" spans="1:16" ht="17.399999999999999">
      <c r="A22" s="390">
        <f t="shared" ref="A22:A27" si="3">IF(H22="",0,1)</f>
        <v>0</v>
      </c>
      <c r="G22" s="336">
        <f>G20+1</f>
        <v>12</v>
      </c>
      <c r="H22" s="306"/>
      <c r="I22" s="361" t="s">
        <v>297</v>
      </c>
      <c r="J22" s="344"/>
      <c r="K22" s="345"/>
    </row>
    <row r="23" spans="1:16" ht="17.399999999999999">
      <c r="A23" s="390">
        <f t="shared" si="3"/>
        <v>0</v>
      </c>
      <c r="G23" s="342">
        <f t="shared" ref="G23:G28" si="4">G22+1</f>
        <v>13</v>
      </c>
      <c r="H23" s="306"/>
      <c r="I23" s="361" t="s">
        <v>298</v>
      </c>
      <c r="J23" s="344"/>
      <c r="K23" s="345"/>
    </row>
    <row r="24" spans="1:16" ht="17.399999999999999">
      <c r="A24" s="390">
        <f t="shared" si="3"/>
        <v>0</v>
      </c>
      <c r="G24" s="342">
        <f t="shared" si="4"/>
        <v>14</v>
      </c>
      <c r="H24" s="306"/>
      <c r="I24" s="361" t="s">
        <v>299</v>
      </c>
      <c r="J24" s="344"/>
      <c r="K24" s="345"/>
    </row>
    <row r="25" spans="1:16" ht="17.399999999999999">
      <c r="A25" s="390">
        <f t="shared" si="3"/>
        <v>0</v>
      </c>
      <c r="G25" s="342">
        <f t="shared" si="4"/>
        <v>15</v>
      </c>
      <c r="H25" s="306"/>
      <c r="I25" s="361" t="s">
        <v>300</v>
      </c>
      <c r="J25" s="344"/>
      <c r="K25" s="345"/>
    </row>
    <row r="26" spans="1:16" ht="17.399999999999999">
      <c r="A26" s="390">
        <f t="shared" si="3"/>
        <v>0</v>
      </c>
      <c r="G26" s="342">
        <f t="shared" si="4"/>
        <v>16</v>
      </c>
      <c r="H26" s="306"/>
      <c r="I26" s="361" t="s">
        <v>301</v>
      </c>
      <c r="J26" s="344"/>
      <c r="K26" s="345"/>
    </row>
    <row r="27" spans="1:16" ht="18" thickBot="1">
      <c r="A27" s="390">
        <f t="shared" si="3"/>
        <v>0</v>
      </c>
      <c r="B27" s="391">
        <f>SUM(A22:A27)</f>
        <v>0</v>
      </c>
      <c r="C27" s="403" t="s">
        <v>366</v>
      </c>
      <c r="D27" s="404" t="str">
        <f>IF(B27=6,"OK", "incomplete")</f>
        <v>incomplete</v>
      </c>
      <c r="E27" s="402" t="s">
        <v>369</v>
      </c>
      <c r="G27" s="342">
        <f t="shared" si="4"/>
        <v>17</v>
      </c>
      <c r="H27" s="306"/>
      <c r="I27" s="361" t="s">
        <v>302</v>
      </c>
      <c r="J27" s="344"/>
      <c r="K27" s="345"/>
    </row>
    <row r="28" spans="1:16" ht="18" thickBot="1">
      <c r="G28" s="342">
        <f t="shared" si="4"/>
        <v>18</v>
      </c>
      <c r="H28" s="290">
        <f>SUM(H22:H27)</f>
        <v>0</v>
      </c>
      <c r="I28" s="366" t="s">
        <v>356</v>
      </c>
      <c r="J28" s="367"/>
      <c r="K28" s="367"/>
    </row>
    <row r="29" spans="1:16" ht="55.5" customHeight="1">
      <c r="G29" s="368" t="s">
        <v>332</v>
      </c>
      <c r="H29" s="369"/>
      <c r="I29" s="1869" t="str">
        <f>("For the "&amp; H14+I14&amp; " households reported to have LEFT the program during the operating year, how many left for the following destinations? (Total in cell H53 should match total of cells H14 + I14."&amp;" All blanks in this section must be filled with a number of “0” or greater in order for the worksheet to be complete.)")</f>
        <v>For the 0 households reported to have LEFT the program during the operating year, how many left for the following destinations? (Total in cell H53 should match total of cells H14 + I14. All blanks in this section must be filled with a number of “0” or greater in order for the worksheet to be complete.)</v>
      </c>
      <c r="J29" s="1869"/>
      <c r="K29" s="1869"/>
      <c r="L29" s="1869"/>
      <c r="M29" s="1869"/>
      <c r="N29" s="1869"/>
      <c r="O29" s="1869"/>
      <c r="P29" s="1869"/>
    </row>
    <row r="30" spans="1:16" ht="18" customHeight="1">
      <c r="A30" s="390">
        <f t="shared" ref="A30:A35" si="5">IF(H30="",0,1)</f>
        <v>0</v>
      </c>
      <c r="G30" s="336">
        <f>G28+1</f>
        <v>19</v>
      </c>
      <c r="H30" s="405"/>
      <c r="I30" s="361" t="s">
        <v>373</v>
      </c>
      <c r="J30" s="370"/>
      <c r="K30" s="370"/>
      <c r="L30" s="344"/>
      <c r="M30" s="345"/>
      <c r="N30" s="1874" t="s">
        <v>333</v>
      </c>
    </row>
    <row r="31" spans="1:16" ht="17.399999999999999">
      <c r="A31" s="390">
        <f t="shared" si="5"/>
        <v>0</v>
      </c>
      <c r="G31" s="342">
        <f t="shared" ref="G31:G46" si="6">G30+1</f>
        <v>20</v>
      </c>
      <c r="H31" s="405"/>
      <c r="I31" s="361" t="s">
        <v>303</v>
      </c>
      <c r="J31" s="370"/>
      <c r="K31" s="370"/>
      <c r="L31" s="344"/>
      <c r="M31" s="345"/>
      <c r="N31" s="1875"/>
    </row>
    <row r="32" spans="1:16" ht="17.399999999999999">
      <c r="A32" s="390">
        <f t="shared" si="5"/>
        <v>0</v>
      </c>
      <c r="G32" s="342">
        <f t="shared" si="6"/>
        <v>21</v>
      </c>
      <c r="H32" s="405"/>
      <c r="I32" s="361" t="s">
        <v>304</v>
      </c>
      <c r="J32" s="370"/>
      <c r="K32" s="370"/>
      <c r="L32" s="344"/>
      <c r="M32" s="345"/>
      <c r="N32" s="1875"/>
    </row>
    <row r="33" spans="1:14" ht="17.399999999999999">
      <c r="A33" s="390">
        <f t="shared" si="5"/>
        <v>0</v>
      </c>
      <c r="G33" s="342">
        <f t="shared" si="6"/>
        <v>22</v>
      </c>
      <c r="H33" s="306"/>
      <c r="I33" s="361" t="s">
        <v>362</v>
      </c>
      <c r="J33" s="370"/>
      <c r="K33" s="370"/>
      <c r="L33" s="344"/>
      <c r="M33" s="345"/>
      <c r="N33" s="1876"/>
    </row>
    <row r="34" spans="1:14" ht="17.399999999999999">
      <c r="A34" s="390">
        <f t="shared" si="5"/>
        <v>0</v>
      </c>
      <c r="G34" s="342">
        <f t="shared" si="6"/>
        <v>23</v>
      </c>
      <c r="H34" s="306"/>
      <c r="I34" s="361" t="s">
        <v>305</v>
      </c>
      <c r="J34" s="370"/>
      <c r="K34" s="370"/>
      <c r="L34" s="344"/>
      <c r="M34" s="345"/>
      <c r="N34" s="1876"/>
    </row>
    <row r="35" spans="1:14" ht="18" thickBot="1">
      <c r="A35" s="390">
        <f t="shared" si="5"/>
        <v>0</v>
      </c>
      <c r="G35" s="342">
        <f t="shared" si="6"/>
        <v>24</v>
      </c>
      <c r="H35" s="306"/>
      <c r="I35" s="361" t="s">
        <v>306</v>
      </c>
      <c r="J35" s="370"/>
      <c r="K35" s="370"/>
      <c r="L35" s="344"/>
      <c r="M35" s="345"/>
      <c r="N35" s="1876"/>
    </row>
    <row r="36" spans="1:14" ht="18.75" customHeight="1" thickBot="1">
      <c r="G36" s="342">
        <f t="shared" si="6"/>
        <v>25</v>
      </c>
      <c r="H36" s="371">
        <f>SUM(H30:H35)</f>
        <v>0</v>
      </c>
      <c r="I36" s="372" t="s">
        <v>327</v>
      </c>
      <c r="J36" s="373"/>
      <c r="K36" s="373"/>
      <c r="L36" s="373"/>
      <c r="M36" s="373"/>
      <c r="N36" s="374"/>
    </row>
    <row r="37" spans="1:14" ht="8.1" customHeight="1" thickBot="1"/>
    <row r="38" spans="1:14" ht="41.25" customHeight="1">
      <c r="A38" s="390">
        <f>IF(H38="",0,1)</f>
        <v>0</v>
      </c>
      <c r="G38" s="342">
        <f>G36+1</f>
        <v>26</v>
      </c>
      <c r="H38" s="306"/>
      <c r="I38" s="361" t="s">
        <v>307</v>
      </c>
      <c r="J38" s="370"/>
      <c r="K38" s="370"/>
      <c r="L38" s="344"/>
      <c r="M38" s="345"/>
      <c r="N38" s="1871" t="s">
        <v>326</v>
      </c>
    </row>
    <row r="39" spans="1:14" ht="45" customHeight="1" thickBot="1">
      <c r="A39" s="390">
        <f>IF(H39="",0,1)</f>
        <v>0</v>
      </c>
      <c r="G39" s="342">
        <f t="shared" si="6"/>
        <v>27</v>
      </c>
      <c r="H39" s="309"/>
      <c r="I39" s="361" t="s">
        <v>363</v>
      </c>
      <c r="J39" s="370"/>
      <c r="K39" s="370"/>
      <c r="L39" s="344"/>
      <c r="M39" s="345"/>
      <c r="N39" s="1873"/>
    </row>
    <row r="40" spans="1:14" ht="18.75" customHeight="1" thickBot="1">
      <c r="G40" s="342">
        <f t="shared" si="6"/>
        <v>28</v>
      </c>
      <c r="H40" s="371">
        <f>SUM(H38:H39)</f>
        <v>0</v>
      </c>
      <c r="I40" s="372" t="s">
        <v>328</v>
      </c>
      <c r="J40" s="373"/>
      <c r="K40" s="373"/>
      <c r="L40" s="373"/>
      <c r="M40" s="373"/>
      <c r="N40" s="374"/>
    </row>
    <row r="41" spans="1:14" ht="8.1" customHeight="1" thickBot="1"/>
    <row r="42" spans="1:14" ht="17.399999999999999">
      <c r="A42" s="390">
        <f>IF(H42="",0,1)</f>
        <v>0</v>
      </c>
      <c r="G42" s="342">
        <f>G40+1</f>
        <v>29</v>
      </c>
      <c r="H42" s="306"/>
      <c r="I42" s="361" t="s">
        <v>308</v>
      </c>
      <c r="J42" s="370"/>
      <c r="K42" s="370"/>
      <c r="L42" s="344"/>
      <c r="M42" s="345"/>
      <c r="N42" s="1871" t="s">
        <v>330</v>
      </c>
    </row>
    <row r="43" spans="1:14" ht="24" customHeight="1">
      <c r="A43" s="390">
        <f>IF(H43="",0,1)</f>
        <v>0</v>
      </c>
      <c r="G43" s="342">
        <f t="shared" si="6"/>
        <v>30</v>
      </c>
      <c r="H43" s="306"/>
      <c r="I43" s="361" t="s">
        <v>309</v>
      </c>
      <c r="J43" s="370"/>
      <c r="K43" s="370"/>
      <c r="L43" s="344"/>
      <c r="M43" s="345"/>
      <c r="N43" s="1872"/>
    </row>
    <row r="44" spans="1:14" ht="17.399999999999999">
      <c r="A44" s="390">
        <f>IF(H44="",0,1)</f>
        <v>0</v>
      </c>
      <c r="G44" s="342">
        <f t="shared" si="6"/>
        <v>31</v>
      </c>
      <c r="H44" s="309"/>
      <c r="I44" s="361" t="s">
        <v>310</v>
      </c>
      <c r="J44" s="370"/>
      <c r="K44" s="370"/>
      <c r="L44" s="344"/>
      <c r="M44" s="345"/>
      <c r="N44" s="1872"/>
    </row>
    <row r="45" spans="1:14" ht="26.25" customHeight="1" thickBot="1">
      <c r="A45" s="390">
        <f>IF(H45="",0,1)</f>
        <v>0</v>
      </c>
      <c r="G45" s="342">
        <f t="shared" si="6"/>
        <v>32</v>
      </c>
      <c r="H45" s="309"/>
      <c r="I45" s="375" t="s">
        <v>311</v>
      </c>
      <c r="J45" s="376"/>
      <c r="K45" s="376"/>
      <c r="L45" s="349"/>
      <c r="M45" s="350"/>
      <c r="N45" s="1872"/>
    </row>
    <row r="46" spans="1:14" ht="18.75" customHeight="1" thickBot="1">
      <c r="G46" s="342">
        <f t="shared" si="6"/>
        <v>33</v>
      </c>
      <c r="H46" s="377">
        <f>SUM(H42:H45)</f>
        <v>0</v>
      </c>
      <c r="I46" s="372" t="s">
        <v>329</v>
      </c>
      <c r="J46" s="373"/>
      <c r="K46" s="373"/>
      <c r="L46" s="373"/>
      <c r="M46" s="373"/>
      <c r="N46" s="374"/>
    </row>
    <row r="47" spans="1:14" ht="8.1" customHeight="1" thickBot="1"/>
    <row r="48" spans="1:14" ht="17.399999999999999">
      <c r="A48" s="390">
        <f>IF(H48="",0,1)</f>
        <v>0</v>
      </c>
      <c r="G48" s="342">
        <f>G46+1</f>
        <v>34</v>
      </c>
      <c r="H48" s="329"/>
      <c r="I48" s="361" t="s">
        <v>312</v>
      </c>
      <c r="J48" s="378"/>
      <c r="K48" s="378"/>
      <c r="L48" s="344"/>
      <c r="M48" s="345"/>
      <c r="N48" s="1863" t="s">
        <v>313</v>
      </c>
    </row>
    <row r="49" spans="1:14" ht="18.75" customHeight="1">
      <c r="A49" s="390">
        <f>IF(H49="",0,1)</f>
        <v>0</v>
      </c>
      <c r="G49" s="342">
        <f>G48+1</f>
        <v>35</v>
      </c>
      <c r="H49" s="306"/>
      <c r="I49" s="362" t="s">
        <v>324</v>
      </c>
      <c r="J49" s="379"/>
      <c r="K49" s="379"/>
      <c r="L49" s="379"/>
      <c r="M49" s="379"/>
      <c r="N49" s="1864"/>
    </row>
    <row r="50" spans="1:14" ht="17.399999999999999">
      <c r="A50" s="390">
        <f>IF(H50="",0,1)</f>
        <v>0</v>
      </c>
      <c r="G50" s="342">
        <f>G49+1</f>
        <v>36</v>
      </c>
      <c r="H50" s="306"/>
      <c r="I50" s="361" t="s">
        <v>194</v>
      </c>
      <c r="J50" s="378"/>
      <c r="K50" s="378"/>
      <c r="L50" s="344"/>
      <c r="M50" s="345"/>
      <c r="N50" s="1864"/>
    </row>
    <row r="51" spans="1:14" ht="18" thickBot="1">
      <c r="A51" s="390">
        <f>IF(H51="",0,1)</f>
        <v>0</v>
      </c>
      <c r="B51" s="391">
        <f>SUM(A30:A51)</f>
        <v>0</v>
      </c>
      <c r="C51" s="403" t="s">
        <v>367</v>
      </c>
      <c r="D51" s="404" t="str">
        <f>IF(B51=16,"OK", "incomplete")</f>
        <v>incomplete</v>
      </c>
      <c r="E51" s="402" t="s">
        <v>370</v>
      </c>
      <c r="G51" s="342">
        <f>G50+1</f>
        <v>37</v>
      </c>
      <c r="H51" s="309"/>
      <c r="I51" s="361" t="s">
        <v>195</v>
      </c>
      <c r="J51" s="378"/>
      <c r="K51" s="378"/>
      <c r="L51" s="344"/>
      <c r="M51" s="345"/>
      <c r="N51" s="1865"/>
    </row>
    <row r="52" spans="1:14" ht="18.75" customHeight="1" thickBot="1">
      <c r="G52" s="342">
        <f>G51+1</f>
        <v>38</v>
      </c>
      <c r="H52" s="371">
        <f>SUM(H48:H51)</f>
        <v>0</v>
      </c>
      <c r="I52" s="372" t="s">
        <v>325</v>
      </c>
      <c r="J52" s="373"/>
      <c r="K52" s="373"/>
      <c r="L52" s="373"/>
      <c r="M52" s="373"/>
      <c r="N52" s="374"/>
    </row>
    <row r="53" spans="1:14" ht="18" thickBot="1">
      <c r="G53" s="342">
        <f>G52+1</f>
        <v>39</v>
      </c>
      <c r="H53" s="380">
        <f>H46+H40+H36+H52</f>
        <v>0</v>
      </c>
      <c r="I53" s="381" t="s">
        <v>356</v>
      </c>
      <c r="J53" s="367"/>
      <c r="K53" s="367"/>
      <c r="L53" s="367"/>
      <c r="M53" s="367"/>
      <c r="N53" s="382"/>
    </row>
    <row r="54" spans="1:14" s="395" customFormat="1" ht="17.399999999999999">
      <c r="G54" s="396"/>
      <c r="H54" s="397"/>
      <c r="I54" s="398"/>
      <c r="J54" s="399"/>
      <c r="K54" s="399"/>
      <c r="L54" s="399"/>
      <c r="M54" s="399"/>
      <c r="N54" s="399"/>
    </row>
    <row r="55" spans="1:14" ht="21">
      <c r="G55" s="147" t="s">
        <v>176</v>
      </c>
    </row>
  </sheetData>
  <sheetProtection algorithmName="SHA-512" hashValue="TrU7NB3ZosxOcfA8Xfv2k0Xe+OQLDmhVx3OP+G2xjThTXb3OVpurHTxQ2EYPy4zHYOMJrPPfvspEIUAwT6xHgA==" saltValue="w2ZDUj+XKzzSD12gx17d5g==" spinCount="100000" sheet="1" objects="1" scenarios="1" selectLockedCells="1"/>
  <customSheetViews>
    <customSheetView guid="{BE27EBD8-ED47-4D05-A191-2893A8781B62}" fitToPage="1" hiddenRows="1" hiddenColumns="1" topLeftCell="G2">
      <pageMargins left="0.75" right="0.75" top="1" bottom="1" header="0.5" footer="0.5"/>
      <pageSetup scale="44" orientation="portrait" r:id="rId1"/>
      <headerFooter alignWithMargins="0"/>
    </customSheetView>
  </customSheetViews>
  <mergeCells count="18">
    <mergeCell ref="G1:P1"/>
    <mergeCell ref="G3:P3"/>
    <mergeCell ref="I21:P21"/>
    <mergeCell ref="I29:P29"/>
    <mergeCell ref="N42:N45"/>
    <mergeCell ref="N38:N39"/>
    <mergeCell ref="N30:N35"/>
    <mergeCell ref="H16:I16"/>
    <mergeCell ref="H20:K20"/>
    <mergeCell ref="H19:K19"/>
    <mergeCell ref="H8:I8"/>
    <mergeCell ref="H13:I13"/>
    <mergeCell ref="H17:I17"/>
    <mergeCell ref="G5:P5"/>
    <mergeCell ref="G9:P9"/>
    <mergeCell ref="G4:H4"/>
    <mergeCell ref="I4:M4"/>
    <mergeCell ref="N48:N51"/>
  </mergeCells>
  <phoneticPr fontId="0" type="noConversion"/>
  <dataValidations count="1">
    <dataValidation type="whole" operator="greaterThanOrEqual" allowBlank="1" showInputMessage="1" showErrorMessage="1" error="numbers only in this field!" sqref="H38:H40 H22:H28 H30:H36 I14:K15 H7:H8 I11:K12 I7:K7 H11:H16 H42:H46 H48:H54">
      <formula1>0</formula1>
    </dataValidation>
  </dataValidations>
  <pageMargins left="0.75" right="0.75" top="1" bottom="1" header="0.5" footer="0.5"/>
  <pageSetup scale="43" orientation="portrait"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K76"/>
  <sheetViews>
    <sheetView showGridLines="0" topLeftCell="D1" zoomScaleNormal="100" workbookViewId="0">
      <selection activeCell="E7" sqref="E7"/>
    </sheetView>
  </sheetViews>
  <sheetFormatPr defaultColWidth="0" defaultRowHeight="13.2" zeroHeight="1"/>
  <cols>
    <col min="1" max="1" width="7.88671875" hidden="1" customWidth="1"/>
    <col min="2" max="2" width="13.6640625" hidden="1" customWidth="1"/>
    <col min="3" max="3" width="13.88671875" hidden="1" customWidth="1"/>
    <col min="4" max="4" width="7.5546875" style="653" customWidth="1"/>
    <col min="5" max="7" width="12.6640625" customWidth="1"/>
    <col min="8" max="8" width="15.33203125" customWidth="1"/>
    <col min="9" max="9" width="9.109375" customWidth="1"/>
    <col min="10" max="10" width="23" customWidth="1"/>
    <col min="11" max="11" width="9.88671875" customWidth="1"/>
    <col min="12" max="12" width="35.33203125" customWidth="1"/>
    <col min="13" max="13" width="34.88671875" customWidth="1"/>
    <col min="14" max="14" width="11.109375" hidden="1" customWidth="1"/>
    <col min="15" max="15" width="17" hidden="1" customWidth="1"/>
    <col min="16" max="16" width="10" hidden="1" customWidth="1"/>
    <col min="17" max="17" width="9.109375" hidden="1" customWidth="1"/>
    <col min="18" max="18" width="6.33203125" hidden="1" customWidth="1"/>
    <col min="19" max="19" width="7.44140625" hidden="1" customWidth="1"/>
    <col min="20" max="20" width="11" hidden="1" customWidth="1"/>
    <col min="21" max="21" width="10" hidden="1" customWidth="1"/>
    <col min="22" max="22" width="20.33203125" hidden="1" customWidth="1"/>
    <col min="23" max="23" width="9.109375" hidden="1" customWidth="1"/>
    <col min="24" max="24" width="11.44140625" hidden="1" customWidth="1"/>
    <col min="25" max="62" width="9.109375" hidden="1" customWidth="1"/>
    <col min="63" max="63" width="15.44140625" hidden="1" customWidth="1"/>
    <col min="64" max="16384" width="9.109375" hidden="1"/>
  </cols>
  <sheetData>
    <row r="1" spans="1:18" ht="20.25" customHeight="1">
      <c r="D1" s="1408" t="str">
        <f>IF(' 1A.Prop&amp;Residents'!$G$38="","",IF(' 1A.Prop&amp;Residents'!$G$38="no","Complete this worksheet","Skip this worksheet"))</f>
        <v/>
      </c>
    </row>
    <row r="2" spans="1:18" ht="38.25" customHeight="1">
      <c r="D2" s="1867" t="str">
        <f>'Completeness Tracker'!$O$23&amp;" "&amp;'Completeness Tracker'!$O$30&amp;" - "&amp;'Completeness Tracker'!$O$24&amp;'Completeness Tracker'!$O$39</f>
        <v>Annual Monitoring Report - Eviction Data - Reporting Year 2018 - Mayor's Office of Housing &amp; Community Development</v>
      </c>
      <c r="E2" s="1868"/>
      <c r="F2" s="1868"/>
      <c r="G2" s="1868"/>
      <c r="H2" s="1868"/>
      <c r="I2" s="1868"/>
      <c r="J2" s="1868"/>
      <c r="K2" s="1868"/>
      <c r="L2" s="1868"/>
      <c r="M2" s="1891"/>
      <c r="N2" s="630"/>
      <c r="O2" s="630"/>
      <c r="P2" s="630"/>
      <c r="Q2" s="630"/>
      <c r="R2" s="630"/>
    </row>
    <row r="3" spans="1:18" ht="17.399999999999999">
      <c r="D3" s="1860" t="s">
        <v>355</v>
      </c>
      <c r="E3" s="1861"/>
      <c r="F3" s="1892" t="str">
        <f>' 1A.Prop&amp;Residents'!$S$9</f>
        <v/>
      </c>
      <c r="G3" s="1892"/>
      <c r="H3" s="1892"/>
      <c r="I3" s="1892"/>
      <c r="J3" s="1892"/>
      <c r="K3" s="1892"/>
      <c r="L3" s="641"/>
      <c r="M3" s="631"/>
    </row>
    <row r="4" spans="1:18" ht="20.25" customHeight="1">
      <c r="D4" s="1893" t="s">
        <v>792</v>
      </c>
      <c r="E4" s="1894"/>
      <c r="F4" s="1894"/>
      <c r="G4" s="1894"/>
      <c r="H4" s="1894"/>
      <c r="I4" s="1894"/>
      <c r="J4" s="1894"/>
      <c r="K4" s="1894"/>
      <c r="L4" s="1894"/>
      <c r="M4" s="162"/>
    </row>
    <row r="5" spans="1:18" ht="23.25" hidden="1" customHeight="1">
      <c r="D5" s="692" t="s">
        <v>793</v>
      </c>
    </row>
    <row r="6" spans="1:18" ht="17.399999999999999">
      <c r="D6" s="654" t="s">
        <v>712</v>
      </c>
      <c r="E6" s="333"/>
      <c r="F6" s="333"/>
      <c r="G6" s="333"/>
      <c r="H6" s="333"/>
      <c r="I6" s="333"/>
      <c r="J6" s="333"/>
      <c r="K6" s="334"/>
      <c r="L6" s="334"/>
      <c r="M6" s="335"/>
    </row>
    <row r="7" spans="1:18" ht="14.25" customHeight="1">
      <c r="A7" s="160">
        <f>IF(E7="",0,1)</f>
        <v>0</v>
      </c>
      <c r="B7" t="str">
        <f>IF(E7&lt;1,"# households should not be &lt;1.","OK")</f>
        <v># households should not be &lt;1.</v>
      </c>
      <c r="D7" s="655">
        <v>1</v>
      </c>
      <c r="E7" s="974"/>
      <c r="F7" s="657" t="s">
        <v>1602</v>
      </c>
      <c r="G7" s="658"/>
      <c r="H7" s="658"/>
      <c r="I7" s="658"/>
      <c r="J7" s="658"/>
      <c r="K7" s="659"/>
      <c r="L7" s="659"/>
      <c r="M7" s="633"/>
      <c r="O7" s="628"/>
    </row>
    <row r="8" spans="1:18">
      <c r="D8" s="656"/>
      <c r="O8" s="628"/>
    </row>
    <row r="9" spans="1:18" ht="33" customHeight="1">
      <c r="D9" s="1886" t="s">
        <v>1251</v>
      </c>
      <c r="E9" s="1887"/>
      <c r="F9" s="1887"/>
      <c r="G9" s="1887"/>
      <c r="H9" s="1887"/>
      <c r="I9" s="1887"/>
      <c r="J9" s="1887"/>
      <c r="K9" s="1887"/>
      <c r="L9" s="1887"/>
      <c r="M9" s="1888"/>
      <c r="O9" s="628"/>
    </row>
    <row r="10" spans="1:18" ht="13.8">
      <c r="A10" s="160">
        <f>IF(E10="",0,1)</f>
        <v>0</v>
      </c>
      <c r="D10" s="655">
        <v>2</v>
      </c>
      <c r="E10" s="640"/>
      <c r="F10" s="632" t="s">
        <v>691</v>
      </c>
      <c r="G10" s="633"/>
      <c r="H10" s="633"/>
      <c r="I10" s="633"/>
      <c r="J10" s="633"/>
      <c r="K10" s="633"/>
      <c r="L10" s="633"/>
      <c r="M10" s="633"/>
      <c r="O10" s="628"/>
    </row>
    <row r="11" spans="1:18" ht="13.8">
      <c r="A11" s="160">
        <f t="shared" ref="A11:A28" si="0">IF(E11="",0,1)</f>
        <v>0</v>
      </c>
      <c r="D11" s="655">
        <v>3</v>
      </c>
      <c r="E11" s="640"/>
      <c r="F11" s="634" t="s">
        <v>700</v>
      </c>
      <c r="G11" s="635"/>
      <c r="H11" s="635"/>
      <c r="I11" s="635"/>
      <c r="J11" s="635"/>
      <c r="K11" s="635"/>
      <c r="L11" s="635"/>
      <c r="M11" s="635"/>
      <c r="O11" s="628"/>
    </row>
    <row r="12" spans="1:18" ht="13.8">
      <c r="A12" s="160">
        <f t="shared" si="0"/>
        <v>0</v>
      </c>
      <c r="D12" s="655">
        <v>4</v>
      </c>
      <c r="E12" s="640"/>
      <c r="F12" s="634" t="s">
        <v>701</v>
      </c>
      <c r="G12" s="635"/>
      <c r="H12" s="635"/>
      <c r="I12" s="635"/>
      <c r="J12" s="635"/>
      <c r="K12" s="635"/>
      <c r="L12" s="635"/>
      <c r="M12" s="635"/>
      <c r="O12" s="628"/>
    </row>
    <row r="13" spans="1:18" ht="13.8">
      <c r="A13" s="160">
        <f t="shared" si="0"/>
        <v>0</v>
      </c>
      <c r="D13" s="655">
        <v>5</v>
      </c>
      <c r="E13" s="640"/>
      <c r="F13" s="634" t="s">
        <v>702</v>
      </c>
      <c r="G13" s="635"/>
      <c r="H13" s="635"/>
      <c r="I13" s="635"/>
      <c r="J13" s="635"/>
      <c r="K13" s="635"/>
      <c r="L13" s="635"/>
      <c r="M13" s="635"/>
      <c r="O13" s="628"/>
    </row>
    <row r="14" spans="1:18" ht="13.8">
      <c r="A14" s="160">
        <f t="shared" si="0"/>
        <v>0</v>
      </c>
      <c r="D14" s="655">
        <v>6</v>
      </c>
      <c r="E14" s="640"/>
      <c r="F14" s="634" t="s">
        <v>692</v>
      </c>
      <c r="G14" s="635"/>
      <c r="H14" s="635"/>
      <c r="I14" s="635"/>
      <c r="J14" s="635"/>
      <c r="K14" s="635"/>
      <c r="L14" s="635"/>
      <c r="M14" s="635"/>
      <c r="O14" s="628"/>
    </row>
    <row r="15" spans="1:18" ht="13.8">
      <c r="A15" s="160">
        <f t="shared" si="0"/>
        <v>0</v>
      </c>
      <c r="D15" s="655">
        <v>7</v>
      </c>
      <c r="E15" s="640"/>
      <c r="F15" s="634" t="s">
        <v>703</v>
      </c>
      <c r="G15" s="635"/>
      <c r="H15" s="635"/>
      <c r="I15" s="635"/>
      <c r="J15" s="635"/>
      <c r="K15" s="635"/>
      <c r="L15" s="635"/>
      <c r="M15" s="635"/>
      <c r="O15" s="628"/>
    </row>
    <row r="16" spans="1:18" ht="13.8">
      <c r="A16" s="160">
        <f t="shared" si="0"/>
        <v>0</v>
      </c>
      <c r="D16" s="655">
        <v>8</v>
      </c>
      <c r="E16" s="640"/>
      <c r="F16" s="634" t="s">
        <v>704</v>
      </c>
      <c r="G16" s="635"/>
      <c r="H16" s="635"/>
      <c r="I16" s="635"/>
      <c r="J16" s="635"/>
      <c r="K16" s="635"/>
      <c r="L16" s="635"/>
      <c r="M16" s="635"/>
      <c r="O16" s="628"/>
    </row>
    <row r="17" spans="1:15" ht="13.8">
      <c r="A17" s="160">
        <f t="shared" si="0"/>
        <v>0</v>
      </c>
      <c r="D17" s="655">
        <v>9</v>
      </c>
      <c r="E17" s="640"/>
      <c r="F17" s="634" t="s">
        <v>693</v>
      </c>
      <c r="G17" s="635"/>
      <c r="H17" s="635"/>
      <c r="I17" s="635"/>
      <c r="J17" s="635"/>
      <c r="K17" s="635"/>
      <c r="L17" s="635"/>
      <c r="M17" s="635"/>
      <c r="O17" s="628"/>
    </row>
    <row r="18" spans="1:15" ht="13.8">
      <c r="A18" s="160">
        <f t="shared" si="0"/>
        <v>0</v>
      </c>
      <c r="D18" s="655">
        <v>10</v>
      </c>
      <c r="E18" s="640"/>
      <c r="F18" s="634" t="s">
        <v>705</v>
      </c>
      <c r="G18" s="635"/>
      <c r="H18" s="635"/>
      <c r="I18" s="635"/>
      <c r="J18" s="635"/>
      <c r="K18" s="635"/>
      <c r="L18" s="635"/>
      <c r="M18" s="635"/>
      <c r="O18" s="628"/>
    </row>
    <row r="19" spans="1:15" ht="13.8">
      <c r="A19" s="160">
        <f t="shared" si="0"/>
        <v>0</v>
      </c>
      <c r="D19" s="655">
        <v>11</v>
      </c>
      <c r="E19" s="640"/>
      <c r="F19" s="634" t="s">
        <v>694</v>
      </c>
      <c r="G19" s="635"/>
      <c r="H19" s="635"/>
      <c r="I19" s="636"/>
      <c r="J19" s="635"/>
      <c r="K19" s="635"/>
      <c r="L19" s="635"/>
      <c r="M19" s="635"/>
      <c r="O19" s="628"/>
    </row>
    <row r="20" spans="1:15" ht="13.8">
      <c r="A20" s="160">
        <f t="shared" si="0"/>
        <v>0</v>
      </c>
      <c r="D20" s="655">
        <v>12</v>
      </c>
      <c r="E20" s="640"/>
      <c r="F20" s="634" t="s">
        <v>695</v>
      </c>
      <c r="G20" s="635"/>
      <c r="H20" s="635"/>
      <c r="I20" s="635"/>
      <c r="J20" s="635"/>
      <c r="K20" s="635"/>
      <c r="L20" s="635"/>
      <c r="M20" s="635"/>
      <c r="O20" s="628"/>
    </row>
    <row r="21" spans="1:15" ht="13.8">
      <c r="A21" s="160">
        <f t="shared" si="0"/>
        <v>0</v>
      </c>
      <c r="D21" s="655">
        <v>13</v>
      </c>
      <c r="E21" s="640"/>
      <c r="F21" s="634" t="s">
        <v>706</v>
      </c>
      <c r="G21" s="635"/>
      <c r="H21" s="635"/>
      <c r="I21" s="635"/>
      <c r="J21" s="635"/>
      <c r="K21" s="635"/>
      <c r="L21" s="635"/>
      <c r="M21" s="635"/>
      <c r="O21" s="628"/>
    </row>
    <row r="22" spans="1:15" ht="13.8">
      <c r="A22" s="160">
        <f t="shared" si="0"/>
        <v>0</v>
      </c>
      <c r="D22" s="655">
        <v>14</v>
      </c>
      <c r="E22" s="640"/>
      <c r="F22" s="634" t="s">
        <v>696</v>
      </c>
      <c r="G22" s="635"/>
      <c r="H22" s="635"/>
      <c r="I22" s="635"/>
      <c r="J22" s="635"/>
      <c r="K22" s="635"/>
      <c r="L22" s="635"/>
      <c r="M22" s="635"/>
      <c r="O22" s="629"/>
    </row>
    <row r="23" spans="1:15" ht="13.8">
      <c r="A23" s="160">
        <f t="shared" si="0"/>
        <v>0</v>
      </c>
      <c r="D23" s="655">
        <v>15</v>
      </c>
      <c r="E23" s="640"/>
      <c r="F23" s="634" t="s">
        <v>697</v>
      </c>
      <c r="G23" s="635"/>
      <c r="H23" s="635"/>
      <c r="I23" s="635"/>
      <c r="J23" s="635"/>
      <c r="K23" s="635"/>
      <c r="L23" s="635"/>
      <c r="M23" s="635"/>
      <c r="O23" s="628"/>
    </row>
    <row r="24" spans="1:15" ht="13.8">
      <c r="A24" s="160">
        <f t="shared" si="0"/>
        <v>0</v>
      </c>
      <c r="D24" s="655">
        <v>16</v>
      </c>
      <c r="E24" s="640"/>
      <c r="F24" s="634" t="s">
        <v>698</v>
      </c>
      <c r="G24" s="635"/>
      <c r="H24" s="635"/>
      <c r="I24" s="635"/>
      <c r="J24" s="635"/>
      <c r="K24" s="635"/>
      <c r="L24" s="635"/>
      <c r="M24" s="635"/>
      <c r="O24" s="628"/>
    </row>
    <row r="25" spans="1:15" ht="13.8">
      <c r="A25" s="160">
        <f t="shared" si="0"/>
        <v>0</v>
      </c>
      <c r="D25" s="655">
        <v>17</v>
      </c>
      <c r="E25" s="640"/>
      <c r="F25" s="637" t="s">
        <v>707</v>
      </c>
      <c r="G25" s="635"/>
      <c r="H25" s="635"/>
      <c r="I25" s="635"/>
      <c r="J25" s="635"/>
      <c r="K25" s="635"/>
      <c r="L25" s="635"/>
      <c r="M25" s="635"/>
      <c r="O25" s="628"/>
    </row>
    <row r="26" spans="1:15" ht="13.8">
      <c r="A26" s="160">
        <f t="shared" si="0"/>
        <v>0</v>
      </c>
      <c r="D26" s="655">
        <v>18</v>
      </c>
      <c r="E26" s="640"/>
      <c r="F26" s="634" t="s">
        <v>708</v>
      </c>
      <c r="G26" s="635"/>
      <c r="H26" s="635"/>
      <c r="I26" s="635"/>
      <c r="J26" s="635"/>
      <c r="K26" s="635"/>
      <c r="L26" s="635"/>
      <c r="M26" s="635"/>
    </row>
    <row r="27" spans="1:15" ht="13.8">
      <c r="A27" s="160">
        <f t="shared" si="0"/>
        <v>0</v>
      </c>
      <c r="D27" s="655">
        <v>19</v>
      </c>
      <c r="E27" s="640"/>
      <c r="F27" s="634" t="s">
        <v>709</v>
      </c>
      <c r="G27" s="635"/>
      <c r="H27" s="635"/>
      <c r="I27" s="635"/>
      <c r="J27" s="635"/>
      <c r="K27" s="635"/>
      <c r="L27" s="635"/>
      <c r="M27" s="635"/>
    </row>
    <row r="28" spans="1:15" ht="13.8">
      <c r="A28" s="160">
        <f t="shared" si="0"/>
        <v>0</v>
      </c>
      <c r="D28" s="655">
        <v>20</v>
      </c>
      <c r="E28" s="640"/>
      <c r="F28" s="634" t="s">
        <v>699</v>
      </c>
      <c r="G28" s="635"/>
      <c r="H28" s="635"/>
      <c r="I28" s="635"/>
      <c r="J28" s="635"/>
      <c r="K28" s="635"/>
      <c r="L28" s="635"/>
      <c r="M28" s="635"/>
    </row>
    <row r="29" spans="1:15" ht="13.8">
      <c r="A29" s="642"/>
      <c r="D29" s="655">
        <v>21</v>
      </c>
      <c r="E29" s="646">
        <f>SUM(E10:E28)</f>
        <v>0</v>
      </c>
      <c r="F29" s="638" t="s">
        <v>710</v>
      </c>
      <c r="G29" s="635"/>
      <c r="H29" s="635"/>
      <c r="I29" s="635"/>
      <c r="J29" s="635"/>
      <c r="K29" s="635"/>
      <c r="L29" s="635"/>
      <c r="M29" s="635"/>
    </row>
    <row r="30" spans="1:15">
      <c r="A30" s="643"/>
      <c r="D30" s="656"/>
      <c r="F30" s="4"/>
    </row>
    <row r="31" spans="1:15" ht="33" customHeight="1">
      <c r="A31" s="644"/>
      <c r="D31" s="1886" t="s">
        <v>1252</v>
      </c>
      <c r="E31" s="1887"/>
      <c r="F31" s="1887"/>
      <c r="G31" s="1887"/>
      <c r="H31" s="1887"/>
      <c r="I31" s="1887"/>
      <c r="J31" s="1887"/>
      <c r="K31" s="1887"/>
      <c r="L31" s="1887"/>
      <c r="M31" s="1888"/>
    </row>
    <row r="32" spans="1:15" ht="13.8">
      <c r="A32" s="160">
        <f t="shared" ref="A32:A50" si="1">IF(E32="",0,1)</f>
        <v>0</v>
      </c>
      <c r="D32" s="655">
        <v>22</v>
      </c>
      <c r="E32" s="640"/>
      <c r="F32" s="632" t="s">
        <v>691</v>
      </c>
      <c r="G32" s="633"/>
      <c r="H32" s="633"/>
      <c r="I32" s="633"/>
      <c r="J32" s="633"/>
      <c r="K32" s="633"/>
      <c r="L32" s="633"/>
      <c r="M32" s="633"/>
    </row>
    <row r="33" spans="1:13" ht="13.8">
      <c r="A33" s="160">
        <f t="shared" si="1"/>
        <v>0</v>
      </c>
      <c r="D33" s="655">
        <v>23</v>
      </c>
      <c r="E33" s="640"/>
      <c r="F33" s="634" t="s">
        <v>700</v>
      </c>
      <c r="G33" s="635"/>
      <c r="H33" s="635"/>
      <c r="I33" s="635"/>
      <c r="J33" s="635"/>
      <c r="K33" s="635"/>
      <c r="L33" s="635"/>
      <c r="M33" s="635"/>
    </row>
    <row r="34" spans="1:13" ht="13.8">
      <c r="A34" s="160">
        <f t="shared" si="1"/>
        <v>0</v>
      </c>
      <c r="D34" s="655">
        <v>24</v>
      </c>
      <c r="E34" s="640"/>
      <c r="F34" s="634" t="s">
        <v>701</v>
      </c>
      <c r="G34" s="635"/>
      <c r="H34" s="635"/>
      <c r="I34" s="635"/>
      <c r="J34" s="635"/>
      <c r="K34" s="635"/>
      <c r="L34" s="635"/>
      <c r="M34" s="635"/>
    </row>
    <row r="35" spans="1:13" ht="13.8">
      <c r="A35" s="160">
        <f t="shared" si="1"/>
        <v>0</v>
      </c>
      <c r="D35" s="655">
        <v>25</v>
      </c>
      <c r="E35" s="640"/>
      <c r="F35" s="634" t="s">
        <v>702</v>
      </c>
      <c r="G35" s="635"/>
      <c r="H35" s="635"/>
      <c r="I35" s="636"/>
      <c r="J35" s="635"/>
      <c r="K35" s="635"/>
      <c r="L35" s="635"/>
      <c r="M35" s="635"/>
    </row>
    <row r="36" spans="1:13" ht="13.8">
      <c r="A36" s="160">
        <f t="shared" si="1"/>
        <v>0</v>
      </c>
      <c r="D36" s="655">
        <v>26</v>
      </c>
      <c r="E36" s="640"/>
      <c r="F36" s="634" t="s">
        <v>692</v>
      </c>
      <c r="G36" s="635"/>
      <c r="H36" s="635"/>
      <c r="I36" s="635"/>
      <c r="J36" s="635"/>
      <c r="K36" s="635"/>
      <c r="L36" s="635"/>
      <c r="M36" s="635"/>
    </row>
    <row r="37" spans="1:13" ht="13.8">
      <c r="A37" s="160">
        <f t="shared" si="1"/>
        <v>0</v>
      </c>
      <c r="D37" s="655">
        <v>27</v>
      </c>
      <c r="E37" s="640"/>
      <c r="F37" s="634" t="s">
        <v>703</v>
      </c>
      <c r="G37" s="635"/>
      <c r="H37" s="635"/>
      <c r="I37" s="635"/>
      <c r="J37" s="635"/>
      <c r="K37" s="635"/>
      <c r="L37" s="635"/>
      <c r="M37" s="635"/>
    </row>
    <row r="38" spans="1:13" ht="13.8">
      <c r="A38" s="160">
        <f t="shared" si="1"/>
        <v>0</v>
      </c>
      <c r="D38" s="655">
        <v>28</v>
      </c>
      <c r="E38" s="640"/>
      <c r="F38" s="634" t="s">
        <v>704</v>
      </c>
      <c r="G38" s="635"/>
      <c r="H38" s="635"/>
      <c r="I38" s="635"/>
      <c r="J38" s="635"/>
      <c r="K38" s="635"/>
      <c r="L38" s="635"/>
      <c r="M38" s="635"/>
    </row>
    <row r="39" spans="1:13" ht="13.8">
      <c r="A39" s="160">
        <f t="shared" si="1"/>
        <v>0</v>
      </c>
      <c r="D39" s="655">
        <v>29</v>
      </c>
      <c r="E39" s="640"/>
      <c r="F39" s="634" t="s">
        <v>693</v>
      </c>
      <c r="G39" s="635"/>
      <c r="H39" s="635"/>
      <c r="I39" s="635"/>
      <c r="J39" s="635"/>
      <c r="K39" s="635"/>
      <c r="L39" s="635"/>
      <c r="M39" s="635"/>
    </row>
    <row r="40" spans="1:13" ht="13.8">
      <c r="A40" s="160">
        <f t="shared" si="1"/>
        <v>0</v>
      </c>
      <c r="D40" s="655">
        <v>30</v>
      </c>
      <c r="E40" s="640"/>
      <c r="F40" s="634" t="s">
        <v>705</v>
      </c>
      <c r="G40" s="635"/>
      <c r="H40" s="635"/>
      <c r="I40" s="635"/>
      <c r="J40" s="635"/>
      <c r="K40" s="635"/>
      <c r="L40" s="635"/>
      <c r="M40" s="635"/>
    </row>
    <row r="41" spans="1:13" ht="13.8">
      <c r="A41" s="160">
        <f t="shared" si="1"/>
        <v>0</v>
      </c>
      <c r="D41" s="655">
        <v>31</v>
      </c>
      <c r="E41" s="640"/>
      <c r="F41" s="634" t="s">
        <v>694</v>
      </c>
      <c r="G41" s="635"/>
      <c r="H41" s="635"/>
      <c r="I41" s="635"/>
      <c r="J41" s="635"/>
      <c r="K41" s="635"/>
      <c r="L41" s="635"/>
      <c r="M41" s="635"/>
    </row>
    <row r="42" spans="1:13" ht="13.8">
      <c r="A42" s="160">
        <f t="shared" si="1"/>
        <v>0</v>
      </c>
      <c r="D42" s="655">
        <v>32</v>
      </c>
      <c r="E42" s="640"/>
      <c r="F42" s="634" t="s">
        <v>695</v>
      </c>
      <c r="G42" s="635"/>
      <c r="H42" s="635"/>
      <c r="I42" s="635"/>
      <c r="J42" s="635"/>
      <c r="K42" s="635"/>
      <c r="L42" s="635"/>
      <c r="M42" s="635"/>
    </row>
    <row r="43" spans="1:13" ht="13.8">
      <c r="A43" s="160">
        <f t="shared" si="1"/>
        <v>0</v>
      </c>
      <c r="D43" s="655">
        <v>33</v>
      </c>
      <c r="E43" s="640"/>
      <c r="F43" s="634" t="s">
        <v>706</v>
      </c>
      <c r="G43" s="635"/>
      <c r="H43" s="635"/>
      <c r="I43" s="635"/>
      <c r="J43" s="635"/>
      <c r="K43" s="635"/>
      <c r="L43" s="635"/>
      <c r="M43" s="635"/>
    </row>
    <row r="44" spans="1:13" ht="13.8">
      <c r="A44" s="160">
        <f t="shared" si="1"/>
        <v>0</v>
      </c>
      <c r="D44" s="655">
        <v>34</v>
      </c>
      <c r="E44" s="640"/>
      <c r="F44" s="634" t="s">
        <v>696</v>
      </c>
      <c r="G44" s="635"/>
      <c r="H44" s="635"/>
      <c r="I44" s="635"/>
      <c r="J44" s="635"/>
      <c r="K44" s="635"/>
      <c r="L44" s="635"/>
      <c r="M44" s="635"/>
    </row>
    <row r="45" spans="1:13" ht="13.8">
      <c r="A45" s="160">
        <f t="shared" si="1"/>
        <v>0</v>
      </c>
      <c r="D45" s="655">
        <v>35</v>
      </c>
      <c r="E45" s="640"/>
      <c r="F45" s="634" t="s">
        <v>697</v>
      </c>
      <c r="G45" s="635"/>
      <c r="H45" s="635"/>
      <c r="I45" s="635"/>
      <c r="J45" s="635"/>
      <c r="K45" s="635"/>
      <c r="L45" s="635"/>
      <c r="M45" s="635"/>
    </row>
    <row r="46" spans="1:13" ht="13.8">
      <c r="A46" s="160">
        <f t="shared" si="1"/>
        <v>0</v>
      </c>
      <c r="D46" s="655">
        <v>36</v>
      </c>
      <c r="E46" s="640"/>
      <c r="F46" s="634" t="s">
        <v>698</v>
      </c>
      <c r="G46" s="635"/>
      <c r="H46" s="635"/>
      <c r="I46" s="635"/>
      <c r="J46" s="635"/>
      <c r="K46" s="635"/>
      <c r="L46" s="635"/>
      <c r="M46" s="635"/>
    </row>
    <row r="47" spans="1:13" ht="13.8">
      <c r="A47" s="160">
        <f t="shared" si="1"/>
        <v>0</v>
      </c>
      <c r="D47" s="655">
        <v>37</v>
      </c>
      <c r="E47" s="640"/>
      <c r="F47" s="637" t="s">
        <v>707</v>
      </c>
      <c r="G47" s="635"/>
      <c r="H47" s="635"/>
      <c r="I47" s="635"/>
      <c r="J47" s="635"/>
      <c r="K47" s="635"/>
      <c r="L47" s="635"/>
      <c r="M47" s="635"/>
    </row>
    <row r="48" spans="1:13" ht="13.8">
      <c r="A48" s="160">
        <f t="shared" si="1"/>
        <v>0</v>
      </c>
      <c r="D48" s="655">
        <v>38</v>
      </c>
      <c r="E48" s="640"/>
      <c r="F48" s="634" t="s">
        <v>708</v>
      </c>
      <c r="G48" s="635"/>
      <c r="H48" s="635"/>
      <c r="I48" s="635"/>
      <c r="J48" s="635"/>
      <c r="K48" s="635"/>
      <c r="L48" s="635"/>
      <c r="M48" s="635"/>
    </row>
    <row r="49" spans="1:13" ht="13.8">
      <c r="A49" s="160">
        <f t="shared" si="1"/>
        <v>0</v>
      </c>
      <c r="D49" s="655">
        <v>39</v>
      </c>
      <c r="E49" s="640"/>
      <c r="F49" s="634" t="s">
        <v>709</v>
      </c>
      <c r="G49" s="635"/>
      <c r="H49" s="635"/>
      <c r="I49" s="635"/>
      <c r="J49" s="635"/>
      <c r="K49" s="635"/>
      <c r="L49" s="635"/>
      <c r="M49" s="635"/>
    </row>
    <row r="50" spans="1:13" ht="13.8">
      <c r="A50" s="160">
        <f t="shared" si="1"/>
        <v>0</v>
      </c>
      <c r="D50" s="655">
        <v>40</v>
      </c>
      <c r="E50" s="640"/>
      <c r="F50" s="634" t="s">
        <v>699</v>
      </c>
      <c r="G50" s="635"/>
      <c r="H50" s="635"/>
      <c r="I50" s="635"/>
      <c r="J50" s="635"/>
      <c r="K50" s="635"/>
      <c r="L50" s="635"/>
      <c r="M50" s="635"/>
    </row>
    <row r="51" spans="1:13" ht="13.8">
      <c r="A51" s="642"/>
      <c r="D51" s="655">
        <v>41</v>
      </c>
      <c r="E51" s="646">
        <f>SUM(E32:E50)</f>
        <v>0</v>
      </c>
      <c r="F51" s="639" t="s">
        <v>711</v>
      </c>
      <c r="G51" s="635"/>
      <c r="H51" s="635"/>
      <c r="I51" s="635"/>
      <c r="J51" s="635"/>
      <c r="K51" s="635"/>
      <c r="L51" s="635"/>
      <c r="M51" s="635"/>
    </row>
    <row r="52" spans="1:13">
      <c r="A52" s="643"/>
      <c r="D52" s="656"/>
      <c r="F52" s="4"/>
    </row>
    <row r="53" spans="1:13" ht="33" customHeight="1">
      <c r="A53" s="644"/>
      <c r="D53" s="1886" t="s">
        <v>1253</v>
      </c>
      <c r="E53" s="1889"/>
      <c r="F53" s="1889"/>
      <c r="G53" s="1889"/>
      <c r="H53" s="1889"/>
      <c r="I53" s="1889"/>
      <c r="J53" s="1889"/>
      <c r="K53" s="1889"/>
      <c r="L53" s="1889"/>
      <c r="M53" s="1890"/>
    </row>
    <row r="54" spans="1:13" ht="13.8">
      <c r="A54" s="160">
        <f t="shared" ref="A54:A72" si="2">IF(E54="",0,1)</f>
        <v>0</v>
      </c>
      <c r="D54" s="655">
        <v>42</v>
      </c>
      <c r="E54" s="640"/>
      <c r="F54" s="632" t="s">
        <v>691</v>
      </c>
      <c r="G54" s="633"/>
      <c r="H54" s="633"/>
      <c r="I54" s="633"/>
      <c r="J54" s="633"/>
      <c r="K54" s="633"/>
      <c r="L54" s="633"/>
      <c r="M54" s="633"/>
    </row>
    <row r="55" spans="1:13" ht="13.8">
      <c r="A55" s="160">
        <f t="shared" si="2"/>
        <v>0</v>
      </c>
      <c r="D55" s="655">
        <v>43</v>
      </c>
      <c r="E55" s="640"/>
      <c r="F55" s="634" t="s">
        <v>700</v>
      </c>
      <c r="G55" s="635"/>
      <c r="H55" s="635"/>
      <c r="I55" s="635"/>
      <c r="J55" s="635"/>
      <c r="K55" s="635"/>
      <c r="L55" s="635"/>
      <c r="M55" s="635"/>
    </row>
    <row r="56" spans="1:13" ht="13.8">
      <c r="A56" s="160">
        <f t="shared" si="2"/>
        <v>0</v>
      </c>
      <c r="D56" s="655">
        <v>44</v>
      </c>
      <c r="E56" s="640"/>
      <c r="F56" s="634" t="s">
        <v>701</v>
      </c>
      <c r="G56" s="635"/>
      <c r="H56" s="636"/>
      <c r="I56" s="635"/>
      <c r="J56" s="635"/>
      <c r="K56" s="635"/>
      <c r="L56" s="635"/>
      <c r="M56" s="635"/>
    </row>
    <row r="57" spans="1:13" ht="13.8">
      <c r="A57" s="160">
        <f t="shared" si="2"/>
        <v>0</v>
      </c>
      <c r="D57" s="655">
        <v>45</v>
      </c>
      <c r="E57" s="640"/>
      <c r="F57" s="634" t="s">
        <v>702</v>
      </c>
      <c r="G57" s="635"/>
      <c r="H57" s="635"/>
      <c r="I57" s="635"/>
      <c r="J57" s="635"/>
      <c r="K57" s="635"/>
      <c r="L57" s="635"/>
      <c r="M57" s="635"/>
    </row>
    <row r="58" spans="1:13" ht="13.8">
      <c r="A58" s="160">
        <f t="shared" si="2"/>
        <v>0</v>
      </c>
      <c r="D58" s="655">
        <v>46</v>
      </c>
      <c r="E58" s="640"/>
      <c r="F58" s="634" t="s">
        <v>692</v>
      </c>
      <c r="G58" s="635"/>
      <c r="H58" s="635"/>
      <c r="I58" s="635"/>
      <c r="J58" s="635"/>
      <c r="K58" s="635"/>
      <c r="L58" s="635"/>
      <c r="M58" s="635"/>
    </row>
    <row r="59" spans="1:13" ht="13.8">
      <c r="A59" s="160">
        <f t="shared" si="2"/>
        <v>0</v>
      </c>
      <c r="D59" s="655">
        <v>47</v>
      </c>
      <c r="E59" s="640"/>
      <c r="F59" s="634" t="s">
        <v>703</v>
      </c>
      <c r="G59" s="635"/>
      <c r="H59" s="635"/>
      <c r="I59" s="635"/>
      <c r="J59" s="635"/>
      <c r="K59" s="635"/>
      <c r="L59" s="635"/>
      <c r="M59" s="635"/>
    </row>
    <row r="60" spans="1:13" ht="13.8">
      <c r="A60" s="160">
        <f t="shared" si="2"/>
        <v>0</v>
      </c>
      <c r="D60" s="655">
        <v>48</v>
      </c>
      <c r="E60" s="640"/>
      <c r="F60" s="634" t="s">
        <v>704</v>
      </c>
      <c r="G60" s="635"/>
      <c r="H60" s="635"/>
      <c r="I60" s="635"/>
      <c r="J60" s="635"/>
      <c r="K60" s="635"/>
      <c r="L60" s="635"/>
      <c r="M60" s="635"/>
    </row>
    <row r="61" spans="1:13" ht="13.8">
      <c r="A61" s="160">
        <f t="shared" si="2"/>
        <v>0</v>
      </c>
      <c r="D61" s="655">
        <v>49</v>
      </c>
      <c r="E61" s="640"/>
      <c r="F61" s="634" t="s">
        <v>693</v>
      </c>
      <c r="G61" s="635"/>
      <c r="H61" s="635"/>
      <c r="I61" s="635"/>
      <c r="J61" s="635"/>
      <c r="K61" s="635"/>
      <c r="L61" s="635"/>
      <c r="M61" s="635"/>
    </row>
    <row r="62" spans="1:13" ht="13.8">
      <c r="A62" s="160">
        <f t="shared" si="2"/>
        <v>0</v>
      </c>
      <c r="D62" s="655">
        <v>50</v>
      </c>
      <c r="E62" s="640"/>
      <c r="F62" s="634" t="s">
        <v>705</v>
      </c>
      <c r="G62" s="635"/>
      <c r="H62" s="635"/>
      <c r="I62" s="635"/>
      <c r="J62" s="635"/>
      <c r="K62" s="635"/>
      <c r="L62" s="635"/>
      <c r="M62" s="635"/>
    </row>
    <row r="63" spans="1:13" ht="13.8">
      <c r="A63" s="160">
        <f t="shared" si="2"/>
        <v>0</v>
      </c>
      <c r="D63" s="655">
        <v>51</v>
      </c>
      <c r="E63" s="640"/>
      <c r="F63" s="634" t="s">
        <v>694</v>
      </c>
      <c r="G63" s="635"/>
      <c r="H63" s="635"/>
      <c r="I63" s="635"/>
      <c r="J63" s="635"/>
      <c r="K63" s="635"/>
      <c r="L63" s="635"/>
      <c r="M63" s="635"/>
    </row>
    <row r="64" spans="1:13" ht="13.8">
      <c r="A64" s="160">
        <f t="shared" si="2"/>
        <v>0</v>
      </c>
      <c r="D64" s="655">
        <v>52</v>
      </c>
      <c r="E64" s="640"/>
      <c r="F64" s="634" t="s">
        <v>695</v>
      </c>
      <c r="G64" s="635"/>
      <c r="H64" s="635"/>
      <c r="I64" s="635"/>
      <c r="J64" s="635"/>
      <c r="K64" s="635"/>
      <c r="L64" s="635"/>
      <c r="M64" s="635"/>
    </row>
    <row r="65" spans="1:13" ht="13.8">
      <c r="A65" s="160">
        <f t="shared" si="2"/>
        <v>0</v>
      </c>
      <c r="D65" s="655">
        <v>53</v>
      </c>
      <c r="E65" s="640"/>
      <c r="F65" s="634" t="s">
        <v>706</v>
      </c>
      <c r="G65" s="635"/>
      <c r="H65" s="635"/>
      <c r="I65" s="635"/>
      <c r="J65" s="635"/>
      <c r="K65" s="635"/>
      <c r="L65" s="635"/>
      <c r="M65" s="635"/>
    </row>
    <row r="66" spans="1:13" ht="13.8">
      <c r="A66" s="160">
        <f t="shared" si="2"/>
        <v>0</v>
      </c>
      <c r="D66" s="655">
        <v>54</v>
      </c>
      <c r="E66" s="640"/>
      <c r="F66" s="634" t="s">
        <v>696</v>
      </c>
      <c r="G66" s="635"/>
      <c r="H66" s="635"/>
      <c r="I66" s="635"/>
      <c r="J66" s="635"/>
      <c r="K66" s="635"/>
      <c r="L66" s="635"/>
      <c r="M66" s="635"/>
    </row>
    <row r="67" spans="1:13" ht="13.8">
      <c r="A67" s="160">
        <f t="shared" si="2"/>
        <v>0</v>
      </c>
      <c r="D67" s="655">
        <v>55</v>
      </c>
      <c r="E67" s="640"/>
      <c r="F67" s="634" t="s">
        <v>697</v>
      </c>
      <c r="G67" s="635"/>
      <c r="H67" s="635"/>
      <c r="I67" s="635"/>
      <c r="J67" s="635"/>
      <c r="K67" s="635"/>
      <c r="L67" s="635"/>
      <c r="M67" s="635"/>
    </row>
    <row r="68" spans="1:13" ht="13.8">
      <c r="A68" s="160">
        <f t="shared" si="2"/>
        <v>0</v>
      </c>
      <c r="D68" s="655">
        <v>56</v>
      </c>
      <c r="E68" s="640"/>
      <c r="F68" s="634" t="s">
        <v>698</v>
      </c>
      <c r="G68" s="635"/>
      <c r="H68" s="635"/>
      <c r="I68" s="635"/>
      <c r="J68" s="635"/>
      <c r="K68" s="635"/>
      <c r="L68" s="635"/>
      <c r="M68" s="635"/>
    </row>
    <row r="69" spans="1:13" ht="13.8">
      <c r="A69" s="160">
        <f t="shared" si="2"/>
        <v>0</v>
      </c>
      <c r="D69" s="655">
        <v>57</v>
      </c>
      <c r="E69" s="640"/>
      <c r="F69" s="637" t="s">
        <v>707</v>
      </c>
      <c r="G69" s="635"/>
      <c r="H69" s="635"/>
      <c r="I69" s="635"/>
      <c r="J69" s="635"/>
      <c r="K69" s="635"/>
      <c r="L69" s="635"/>
      <c r="M69" s="635"/>
    </row>
    <row r="70" spans="1:13" ht="13.8">
      <c r="A70" s="160">
        <f t="shared" si="2"/>
        <v>0</v>
      </c>
      <c r="B70" s="389" t="str">
        <f>IF(B72&lt;58,"INCOMPLETE","COMPLETED")</f>
        <v>INCOMPLETE</v>
      </c>
      <c r="D70" s="655">
        <v>58</v>
      </c>
      <c r="E70" s="640"/>
      <c r="F70" s="634" t="s">
        <v>708</v>
      </c>
      <c r="G70" s="635"/>
      <c r="H70" s="635"/>
      <c r="I70" s="635"/>
      <c r="J70" s="635"/>
      <c r="K70" s="635"/>
      <c r="L70" s="635"/>
      <c r="M70" s="635"/>
    </row>
    <row r="71" spans="1:13" ht="13.8">
      <c r="A71" s="160">
        <f t="shared" si="2"/>
        <v>0</v>
      </c>
      <c r="B71" s="645" t="s">
        <v>773</v>
      </c>
      <c r="D71" s="655">
        <v>59</v>
      </c>
      <c r="E71" s="640"/>
      <c r="F71" s="634" t="s">
        <v>709</v>
      </c>
      <c r="G71" s="635"/>
      <c r="H71" s="635"/>
      <c r="I71" s="635"/>
      <c r="J71" s="635"/>
      <c r="K71" s="635"/>
      <c r="L71" s="635"/>
      <c r="M71" s="635"/>
    </row>
    <row r="72" spans="1:13" ht="13.8">
      <c r="A72" s="160">
        <f t="shared" si="2"/>
        <v>0</v>
      </c>
      <c r="B72" s="160">
        <f>A7+A10+A11+A12+A13+A14+A15+A16+A17+A18+A19+A20+A21+A22+A23+A24+A25+A26+A27+A28+A32+A33+A34+A35+A36+A37+A38+A39+A40+A41+A42+A43+A44+A45+A46+A47+A48+A49+A50+A54+A55+A56+A57+A58+A59+A60+A61+A62+A63+A64+A65+A66+A67+A68+A69+A70+A71+A72</f>
        <v>0</v>
      </c>
      <c r="D72" s="655">
        <v>60</v>
      </c>
      <c r="E72" s="640"/>
      <c r="F72" s="634" t="s">
        <v>699</v>
      </c>
      <c r="G72" s="635"/>
      <c r="H72" s="635"/>
      <c r="I72" s="635"/>
      <c r="J72" s="635"/>
      <c r="K72" s="635"/>
      <c r="L72" s="635"/>
      <c r="M72" s="660"/>
    </row>
    <row r="73" spans="1:13" ht="14.4">
      <c r="D73" s="655">
        <v>61</v>
      </c>
      <c r="E73" s="646">
        <f>SUM(E54:E72)</f>
        <v>0</v>
      </c>
      <c r="F73" s="639" t="s">
        <v>1578</v>
      </c>
      <c r="G73" s="635"/>
      <c r="H73" s="635"/>
      <c r="I73" s="635"/>
      <c r="J73" s="635"/>
      <c r="K73" s="635"/>
      <c r="L73" s="635"/>
      <c r="M73" s="635"/>
    </row>
    <row r="74" spans="1:13" hidden="1"/>
    <row r="75" spans="1:13" hidden="1"/>
    <row r="76" spans="1:13" hidden="1"/>
  </sheetData>
  <sheetProtection algorithmName="SHA-512" hashValue="uEFDxcTzKMtoZWEOVP+y4BIYFhi3jSnvY62IBeLG4m8XuuPHABgQPpA9U8HpOJ3d8G4KjEvAMArIl7MUU/Mv4w==" saltValue="aGOOxysdH+bSnnFKVL1myA==" spinCount="100000" sheet="1" objects="1" scenarios="1" selectLockedCells="1"/>
  <customSheetViews>
    <customSheetView guid="{BE27EBD8-ED47-4D05-A191-2893A8781B62}" fitToPage="1" hiddenRows="1" hiddenColumns="1" topLeftCell="D1">
      <pageMargins left="0.7" right="0.7" top="0.75" bottom="0.75" header="0.3" footer="0.3"/>
      <pageSetup scale="53" orientation="portrait" r:id="rId1"/>
    </customSheetView>
  </customSheetViews>
  <mergeCells count="7">
    <mergeCell ref="D9:M9"/>
    <mergeCell ref="D31:M31"/>
    <mergeCell ref="D53:M53"/>
    <mergeCell ref="D2:M2"/>
    <mergeCell ref="D3:E3"/>
    <mergeCell ref="F3:K3"/>
    <mergeCell ref="D4:L4"/>
  </mergeCells>
  <dataValidations count="1">
    <dataValidation type="whole" operator="greaterThanOrEqual" allowBlank="1" showInputMessage="1" showErrorMessage="1" error="numbers only in this field!" sqref="E54:E72 E10:E28 E32:E50">
      <formula1>0</formula1>
    </dataValidation>
  </dataValidations>
  <pageMargins left="0.7" right="0.7" top="0.75" bottom="0.75" header="0.3" footer="0.3"/>
  <pageSetup scale="5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GS626"/>
  <sheetViews>
    <sheetView showGridLines="0" topLeftCell="B15" zoomScaleNormal="100" workbookViewId="0">
      <selection activeCell="F23" sqref="F23"/>
    </sheetView>
  </sheetViews>
  <sheetFormatPr defaultColWidth="0" defaultRowHeight="13.2" zeroHeight="1" outlineLevelCol="1"/>
  <cols>
    <col min="1" max="1" width="4.5546875" hidden="1" customWidth="1"/>
    <col min="2" max="2" width="75.109375" customWidth="1"/>
    <col min="3" max="3" width="20.109375" style="19" hidden="1" customWidth="1"/>
    <col min="4" max="4" width="16.88671875" customWidth="1"/>
    <col min="5" max="5" width="16.88671875" style="19" hidden="1" customWidth="1"/>
    <col min="6" max="6" width="16.6640625" customWidth="1"/>
    <col min="7" max="7" width="16.6640625" style="19" hidden="1" customWidth="1"/>
    <col min="8" max="8" width="18.6640625" customWidth="1"/>
    <col min="9" max="9" width="18.6640625" style="19" hidden="1" customWidth="1"/>
    <col min="10" max="10" width="15.109375" customWidth="1"/>
    <col min="11" max="11" width="14.88671875" style="19" hidden="1" customWidth="1"/>
    <col min="12" max="12" width="17.88671875" hidden="1" customWidth="1" outlineLevel="1"/>
    <col min="13" max="13" width="17.88671875" style="19" hidden="1" customWidth="1" outlineLevel="1"/>
    <col min="14" max="14" width="22.33203125" hidden="1" customWidth="1" outlineLevel="1"/>
    <col min="15" max="15" width="22.33203125" style="19" hidden="1" customWidth="1" outlineLevel="1"/>
    <col min="16" max="16" width="40.6640625" hidden="1" customWidth="1" outlineLevel="1"/>
    <col min="17" max="17" width="16.6640625" style="19" hidden="1" customWidth="1" outlineLevel="1"/>
    <col min="18" max="18" width="40.109375" hidden="1" customWidth="1" outlineLevel="1"/>
    <col min="19" max="19" width="13.109375" hidden="1" customWidth="1" collapsed="1"/>
    <col min="20" max="20" width="9.109375" hidden="1" customWidth="1"/>
    <col min="21" max="21" width="19.44140625" hidden="1" customWidth="1"/>
    <col min="22" max="22" width="9.109375" hidden="1" customWidth="1"/>
    <col min="23" max="23" width="58.109375" hidden="1" customWidth="1"/>
    <col min="24" max="24" width="9.109375" hidden="1" customWidth="1"/>
    <col min="25" max="25" width="19.5546875" hidden="1" customWidth="1"/>
    <col min="26" max="26" width="9.109375" hidden="1" customWidth="1"/>
    <col min="27" max="27" width="11.6640625" hidden="1" customWidth="1"/>
    <col min="28" max="28" width="13.109375" hidden="1" customWidth="1"/>
    <col min="29" max="30" width="9.109375" hidden="1" customWidth="1"/>
    <col min="31" max="33" width="9.6640625" hidden="1" customWidth="1"/>
    <col min="34" max="34" width="9.109375" hidden="1" customWidth="1"/>
    <col min="35" max="35" width="12.33203125" hidden="1" customWidth="1"/>
    <col min="36" max="36" width="11.44140625" hidden="1" customWidth="1"/>
    <col min="37" max="38" width="9.109375" hidden="1" customWidth="1"/>
    <col min="39" max="39" width="12.109375" hidden="1" customWidth="1"/>
    <col min="40" max="41" width="9.6640625" hidden="1" customWidth="1"/>
    <col min="42" max="47" width="9.109375" hidden="1" customWidth="1"/>
    <col min="48" max="48" width="10.109375" hidden="1" customWidth="1"/>
    <col min="49" max="55" width="9.109375" hidden="1" customWidth="1"/>
    <col min="56" max="56" width="10.6640625" hidden="1" customWidth="1"/>
    <col min="57" max="62" width="9.109375" hidden="1" customWidth="1"/>
    <col min="63" max="63" width="11.5546875" hidden="1" customWidth="1"/>
    <col min="64" max="64" width="11.109375" hidden="1" customWidth="1"/>
    <col min="65" max="69" width="9.109375" hidden="1" customWidth="1"/>
    <col min="70" max="70" width="10.6640625" hidden="1" customWidth="1"/>
    <col min="71" max="71" width="13" hidden="1" customWidth="1"/>
    <col min="72" max="72" width="11.88671875" hidden="1" customWidth="1"/>
    <col min="73" max="73" width="9.109375" hidden="1" customWidth="1"/>
    <col min="74" max="74" width="10.33203125" hidden="1" customWidth="1"/>
    <col min="75" max="75" width="11" hidden="1" customWidth="1"/>
    <col min="76" max="76" width="11.33203125" hidden="1" customWidth="1"/>
    <col min="77" max="84" width="9.109375" hidden="1" customWidth="1"/>
    <col min="85" max="85" width="11.6640625" hidden="1" customWidth="1"/>
    <col min="86" max="123" width="9.109375" hidden="1" customWidth="1"/>
    <col min="124" max="124" width="14.109375" hidden="1" customWidth="1"/>
    <col min="125" max="139" width="9.109375" hidden="1" customWidth="1"/>
    <col min="140" max="140" width="18" hidden="1" customWidth="1"/>
    <col min="141" max="141" width="10.5546875" hidden="1" customWidth="1"/>
    <col min="142" max="164" width="9.109375" hidden="1" customWidth="1"/>
    <col min="165" max="165" width="12.33203125" hidden="1" customWidth="1"/>
    <col min="166" max="166" width="12.5546875" hidden="1" customWidth="1"/>
    <col min="167" max="167" width="11.33203125" hidden="1" customWidth="1"/>
    <col min="168" max="179" width="9.109375" hidden="1" customWidth="1"/>
    <col min="180" max="180" width="11.88671875" hidden="1" customWidth="1"/>
    <col min="181" max="187" width="9.109375" hidden="1" customWidth="1"/>
    <col min="188" max="188" width="12.33203125" hidden="1" customWidth="1"/>
    <col min="189" max="16384" width="9.109375" hidden="1"/>
  </cols>
  <sheetData>
    <row r="1" spans="1:201" ht="170.4" hidden="1" customHeight="1" thickBot="1">
      <c r="B1" s="1902" t="s">
        <v>1100</v>
      </c>
      <c r="C1" s="1903"/>
      <c r="D1" s="1903"/>
      <c r="E1" s="1903"/>
      <c r="F1" s="1903"/>
      <c r="G1" s="1903"/>
      <c r="H1" s="1903"/>
      <c r="I1" s="1903"/>
      <c r="J1" s="1904"/>
      <c r="K1" s="1065"/>
      <c r="M1" s="1582"/>
      <c r="N1" s="1582"/>
      <c r="O1" s="1582"/>
      <c r="P1" s="1582"/>
      <c r="Q1" s="1582"/>
      <c r="R1" s="1583"/>
    </row>
    <row r="2" spans="1:201" ht="88.5" hidden="1" customHeight="1"/>
    <row r="3" spans="1:201" ht="107.25" hidden="1" customHeight="1">
      <c r="A3" s="473"/>
      <c r="B3" s="473"/>
      <c r="C3" s="211" t="s">
        <v>152</v>
      </c>
      <c r="D3" s="212" t="s">
        <v>296</v>
      </c>
      <c r="E3" s="158" t="s">
        <v>98</v>
      </c>
      <c r="F3" s="212" t="s">
        <v>153</v>
      </c>
      <c r="G3" s="212" t="s">
        <v>156</v>
      </c>
      <c r="H3" s="212" t="s">
        <v>153</v>
      </c>
      <c r="I3" s="212" t="s">
        <v>159</v>
      </c>
      <c r="K3" s="212" t="s">
        <v>160</v>
      </c>
      <c r="M3" s="212" t="s">
        <v>435</v>
      </c>
      <c r="N3" s="212" t="s">
        <v>99</v>
      </c>
      <c r="O3" s="212" t="s">
        <v>161</v>
      </c>
      <c r="Q3" s="212" t="s">
        <v>162</v>
      </c>
      <c r="S3" s="212" t="s">
        <v>163</v>
      </c>
      <c r="U3" s="212" t="s">
        <v>164</v>
      </c>
      <c r="W3" s="212" t="s">
        <v>860</v>
      </c>
      <c r="Z3" s="212" t="s">
        <v>861</v>
      </c>
      <c r="AD3" s="214" t="s">
        <v>862</v>
      </c>
      <c r="AF3" s="212" t="s">
        <v>863</v>
      </c>
      <c r="AI3" s="214" t="s">
        <v>864</v>
      </c>
      <c r="AK3" s="212" t="s">
        <v>865</v>
      </c>
      <c r="AN3" s="214" t="s">
        <v>866</v>
      </c>
      <c r="AP3" s="212" t="s">
        <v>867</v>
      </c>
      <c r="AR3" s="212" t="s">
        <v>166</v>
      </c>
      <c r="AT3" s="214" t="s">
        <v>868</v>
      </c>
      <c r="AU3" s="212"/>
      <c r="AV3" s="214" t="s">
        <v>175</v>
      </c>
      <c r="AW3" s="212"/>
      <c r="AX3" s="212" t="s">
        <v>174</v>
      </c>
      <c r="AY3" s="212"/>
      <c r="AZ3" s="212"/>
      <c r="BA3" s="214" t="s">
        <v>869</v>
      </c>
      <c r="BB3" s="212"/>
      <c r="BC3" s="214" t="s">
        <v>870</v>
      </c>
      <c r="BD3" s="212"/>
      <c r="BE3" s="212" t="s">
        <v>840</v>
      </c>
      <c r="BF3" s="212" t="s">
        <v>871</v>
      </c>
      <c r="BG3" s="212" t="s">
        <v>872</v>
      </c>
      <c r="BH3" s="212" t="s">
        <v>167</v>
      </c>
      <c r="BI3" s="212"/>
      <c r="BJ3" s="212" t="s">
        <v>841</v>
      </c>
      <c r="BK3" s="212" t="s">
        <v>842</v>
      </c>
      <c r="BL3" s="212"/>
      <c r="BM3" s="212" t="s">
        <v>843</v>
      </c>
      <c r="BN3" s="212"/>
      <c r="BO3" s="212" t="s">
        <v>197</v>
      </c>
      <c r="BP3" s="212"/>
      <c r="BQ3" s="212" t="s">
        <v>844</v>
      </c>
      <c r="BR3" s="212"/>
      <c r="BS3" s="212" t="s">
        <v>198</v>
      </c>
      <c r="BT3" s="212"/>
      <c r="BU3" s="212" t="s">
        <v>201</v>
      </c>
      <c r="BV3" s="212"/>
      <c r="BW3" s="212" t="s">
        <v>202</v>
      </c>
      <c r="BX3" s="212"/>
      <c r="BY3" s="212" t="s">
        <v>845</v>
      </c>
      <c r="BZ3" s="212"/>
      <c r="CA3" s="212" t="s">
        <v>846</v>
      </c>
      <c r="CB3" s="212"/>
      <c r="CC3" s="212" t="s">
        <v>205</v>
      </c>
      <c r="CD3" s="212"/>
      <c r="CE3" s="212" t="s">
        <v>206</v>
      </c>
      <c r="CF3" s="212"/>
      <c r="CG3" s="212" t="s">
        <v>207</v>
      </c>
      <c r="CH3" s="212"/>
      <c r="CI3" s="212" t="s">
        <v>208</v>
      </c>
      <c r="CJ3" s="212"/>
      <c r="CK3" s="212" t="s">
        <v>209</v>
      </c>
      <c r="CL3" s="212"/>
      <c r="CM3" s="212" t="s">
        <v>210</v>
      </c>
      <c r="CN3" s="212"/>
      <c r="CO3" s="212" t="s">
        <v>211</v>
      </c>
      <c r="CP3" s="212"/>
      <c r="CQ3" s="212" t="s">
        <v>212</v>
      </c>
      <c r="CR3" s="212"/>
      <c r="CS3" s="212" t="s">
        <v>215</v>
      </c>
      <c r="CT3" s="212"/>
      <c r="CU3" s="212" t="s">
        <v>216</v>
      </c>
      <c r="CV3" s="212"/>
      <c r="CW3" s="212" t="s">
        <v>217</v>
      </c>
      <c r="CX3" s="212"/>
      <c r="CY3" s="212" t="s">
        <v>218</v>
      </c>
      <c r="CZ3" s="212"/>
      <c r="DA3" s="212" t="s">
        <v>220</v>
      </c>
      <c r="DB3" s="212"/>
      <c r="DC3" s="212" t="s">
        <v>221</v>
      </c>
      <c r="DD3" s="212"/>
      <c r="DE3" s="212" t="s">
        <v>222</v>
      </c>
      <c r="DF3" s="212"/>
      <c r="DG3" s="212" t="s">
        <v>225</v>
      </c>
      <c r="DH3" s="212"/>
      <c r="DI3" s="212" t="s">
        <v>226</v>
      </c>
      <c r="DJ3" s="212"/>
      <c r="DK3" s="212" t="s">
        <v>847</v>
      </c>
      <c r="DL3" s="212"/>
      <c r="DM3" s="212" t="s">
        <v>227</v>
      </c>
      <c r="DN3" s="212"/>
      <c r="DO3" s="212" t="s">
        <v>229</v>
      </c>
      <c r="DP3" s="212"/>
      <c r="DQ3" s="212" t="s">
        <v>230</v>
      </c>
      <c r="DR3" s="212"/>
      <c r="DS3" s="212" t="s">
        <v>231</v>
      </c>
      <c r="DT3" s="212"/>
      <c r="DU3" s="212" t="s">
        <v>232</v>
      </c>
      <c r="DV3" s="212"/>
      <c r="DW3" s="212" t="s">
        <v>233</v>
      </c>
      <c r="DX3" s="212"/>
      <c r="DY3" s="212" t="s">
        <v>234</v>
      </c>
      <c r="DZ3" s="212"/>
      <c r="EA3" s="212" t="s">
        <v>235</v>
      </c>
      <c r="EB3" s="212"/>
      <c r="EC3" s="212" t="s">
        <v>236</v>
      </c>
      <c r="ED3" s="212"/>
      <c r="EE3" s="212" t="s">
        <v>873</v>
      </c>
      <c r="EF3" s="212"/>
      <c r="EG3" s="212" t="s">
        <v>874</v>
      </c>
      <c r="EH3" s="212"/>
      <c r="EI3" s="212"/>
      <c r="EJ3" s="212" t="s">
        <v>848</v>
      </c>
      <c r="EK3" s="212" t="s">
        <v>849</v>
      </c>
      <c r="EL3" s="212" t="s">
        <v>850</v>
      </c>
      <c r="EM3" s="212" t="s">
        <v>851</v>
      </c>
      <c r="EN3" s="212" t="s">
        <v>852</v>
      </c>
      <c r="EO3" s="212" t="s">
        <v>853</v>
      </c>
      <c r="EP3" s="212"/>
      <c r="EQ3" s="212" t="s">
        <v>854</v>
      </c>
      <c r="ER3" s="212" t="s">
        <v>855</v>
      </c>
      <c r="ES3" s="212" t="s">
        <v>856</v>
      </c>
      <c r="ET3" s="212" t="s">
        <v>857</v>
      </c>
      <c r="EU3" s="212" t="s">
        <v>858</v>
      </c>
      <c r="EV3" s="212" t="s">
        <v>1350</v>
      </c>
      <c r="EW3" s="212" t="s">
        <v>875</v>
      </c>
      <c r="EX3" s="212"/>
      <c r="EY3" s="212" t="s">
        <v>107</v>
      </c>
      <c r="EZ3" s="212"/>
      <c r="FA3" s="212" t="s">
        <v>108</v>
      </c>
      <c r="FB3" s="212"/>
      <c r="FC3" s="212" t="s">
        <v>109</v>
      </c>
      <c r="FD3" s="212"/>
      <c r="FE3" s="212" t="s">
        <v>859</v>
      </c>
      <c r="FF3" s="212"/>
      <c r="FG3" s="212" t="s">
        <v>110</v>
      </c>
      <c r="FH3" s="212"/>
      <c r="FI3" s="212" t="s">
        <v>102</v>
      </c>
    </row>
    <row r="4" spans="1:201" ht="15.75" hidden="1" customHeight="1">
      <c r="A4" s="474"/>
      <c r="B4" s="213" t="s">
        <v>78</v>
      </c>
      <c r="C4" s="185" t="str">
        <f t="shared" ref="C4:I4" si="0">IF(C5&lt;&gt;C3,"CHECK", "ok")</f>
        <v>ok</v>
      </c>
      <c r="D4" s="185" t="str">
        <f t="shared" si="0"/>
        <v>CHECK</v>
      </c>
      <c r="E4" s="185" t="str">
        <f t="shared" si="0"/>
        <v>ok</v>
      </c>
      <c r="F4" s="185" t="str">
        <f t="shared" si="0"/>
        <v>CHECK</v>
      </c>
      <c r="G4" s="185" t="str">
        <f t="shared" si="0"/>
        <v>ok</v>
      </c>
      <c r="H4" s="185" t="str">
        <f t="shared" si="0"/>
        <v>ok</v>
      </c>
      <c r="I4" s="185" t="str">
        <f t="shared" si="0"/>
        <v>CHECK</v>
      </c>
      <c r="J4" s="185"/>
      <c r="K4" s="185" t="str">
        <f>IF(K5&lt;&gt;K3,"CHECK", "ok")</f>
        <v>ok</v>
      </c>
      <c r="L4" s="185"/>
      <c r="M4" s="185" t="str">
        <f>IF(M5&lt;&gt;M3,"CHECK", "ok")</f>
        <v>CHECK</v>
      </c>
      <c r="N4" s="185" t="str">
        <f>IF(N5&lt;&gt;N3,"CHECK", "ok")</f>
        <v>ok</v>
      </c>
      <c r="O4" s="185" t="str">
        <f>IF(O5&lt;&gt;O3,"CHECK", "ok")</f>
        <v>CHECK</v>
      </c>
      <c r="P4" s="185"/>
      <c r="Q4" s="185" t="str">
        <f>IF(Q5&lt;&gt;Q3,"CHECK", "ok")</f>
        <v>ok</v>
      </c>
      <c r="R4" s="185"/>
      <c r="S4" s="185" t="str">
        <f>IF(S5&lt;&gt;S3,"CHECK", "ok")</f>
        <v>ok</v>
      </c>
      <c r="T4" s="185"/>
      <c r="U4" s="185" t="str">
        <f>IF(U5&lt;&gt;U3,"CHECK", "ok")</f>
        <v>CHECK</v>
      </c>
      <c r="V4" s="185"/>
      <c r="W4" s="185" t="str">
        <f>IF(W5&lt;&gt;W3,"CHECK", "ok")</f>
        <v>CHECK</v>
      </c>
      <c r="X4" s="185"/>
      <c r="Y4" s="185"/>
      <c r="Z4" s="185" t="str">
        <f>IF(Z5&lt;&gt;Z3,"CHECK", "ok")</f>
        <v>CHECK</v>
      </c>
      <c r="AA4" s="185"/>
      <c r="AB4" s="185"/>
      <c r="AC4" s="185"/>
      <c r="AD4" s="185" t="str">
        <f>IF(AD5&lt;&gt;AD3,"CHECK", "ok")</f>
        <v>CHECK</v>
      </c>
      <c r="AE4" s="185"/>
      <c r="AF4" s="185" t="str">
        <f>IF(AF5&lt;&gt;AF3,"CHECK", "ok")</f>
        <v>CHECK</v>
      </c>
      <c r="AG4" s="185"/>
      <c r="AH4" s="185"/>
      <c r="AI4" s="185" t="str">
        <f>IF(AI5&lt;&gt;AI3,"CHECK", "ok")</f>
        <v>CHECK</v>
      </c>
      <c r="AJ4" s="185"/>
      <c r="AK4" s="185" t="str">
        <f>IF(AK5&lt;&gt;AK3,"CHECK", "ok")</f>
        <v>CHECK</v>
      </c>
      <c r="AL4" s="185"/>
      <c r="AM4" s="185"/>
      <c r="AN4" s="185" t="str">
        <f>IF(AN5&lt;&gt;AN3,"CHECK", "ok")</f>
        <v>CHECK</v>
      </c>
      <c r="AO4" s="185"/>
      <c r="AP4" s="185" t="str">
        <f>IF(AP5&lt;&gt;AP3,"CHECK", "ok")</f>
        <v>CHECK</v>
      </c>
      <c r="AQ4" s="185"/>
      <c r="AR4" s="185" t="str">
        <f>IF(AR5&lt;&gt;AR3,"CHECK", "ok")</f>
        <v>ok</v>
      </c>
      <c r="AS4" s="185"/>
      <c r="AT4" s="185" t="str">
        <f>IF(AT5&lt;&gt;AT3,"CHECK", "ok")</f>
        <v>CHECK</v>
      </c>
      <c r="AU4" s="185"/>
      <c r="AV4" s="185" t="str">
        <f>IF(AV5&lt;&gt;AV3,"CHECK", "ok")</f>
        <v>CHECK</v>
      </c>
      <c r="AW4" s="185"/>
      <c r="AX4" s="185" t="str">
        <f>IF(AX5&lt;&gt;AX3,"CHECK", "ok")</f>
        <v>CHECK</v>
      </c>
      <c r="AY4" s="185"/>
      <c r="AZ4" s="185"/>
      <c r="BA4" s="185" t="str">
        <f>IF(BA5&lt;&gt;BA3,"CHECK", "ok")</f>
        <v>CHECK</v>
      </c>
      <c r="BB4" s="185"/>
      <c r="BC4" s="185" t="str">
        <f>IF(BC5&lt;&gt;BC3,"CHECK", "ok")</f>
        <v>CHECK</v>
      </c>
      <c r="BD4" s="185"/>
      <c r="BE4" s="185" t="str">
        <f>IF(BE5&lt;&gt;BE3,"CHECK", "ok")</f>
        <v>CHECK</v>
      </c>
      <c r="BF4" s="185" t="str">
        <f>IF(BF5&lt;&gt;BF3,"CHECK", "ok")</f>
        <v>CHECK</v>
      </c>
      <c r="BG4" s="185" t="e">
        <f>IF(BG5&lt;&gt;BG3,"CHECK", "ok")</f>
        <v>#REF!</v>
      </c>
      <c r="BH4" s="185" t="str">
        <f>IF(BH5&lt;&gt;BH3,"CHECK", "ok")</f>
        <v>CHECK</v>
      </c>
      <c r="BI4" s="185"/>
      <c r="BJ4" s="185" t="e">
        <f>IF(BJ5&lt;&gt;BJ3,"CHECK", "ok")</f>
        <v>#REF!</v>
      </c>
      <c r="BK4" s="185" t="e">
        <f>IF(BK5&lt;&gt;BK3,"CHECK", "ok")</f>
        <v>#REF!</v>
      </c>
      <c r="BL4" s="185"/>
      <c r="BM4" s="185" t="str">
        <f>IF(BM5&lt;&gt;BM3,"CHECK", "ok")</f>
        <v>CHECK</v>
      </c>
      <c r="BN4" s="185"/>
      <c r="BO4" s="185" t="str">
        <f>IF(BO5&lt;&gt;BO3,"CHECK", "ok")</f>
        <v>ok</v>
      </c>
      <c r="BP4" s="185"/>
      <c r="BQ4" s="185" t="str">
        <f>IF(BQ5&lt;&gt;BQ3,"CHECK", "ok")</f>
        <v>CHECK</v>
      </c>
      <c r="BR4" s="185"/>
      <c r="BS4" s="185" t="str">
        <f>IF(BS5&lt;&gt;BS3,"CHECK", "ok")</f>
        <v>ok</v>
      </c>
      <c r="BT4" s="185"/>
      <c r="BU4" s="185" t="str">
        <f>IF(BU5&lt;&gt;BU3,"CHECK", "ok")</f>
        <v>ok</v>
      </c>
      <c r="BV4" s="185"/>
      <c r="BW4" s="185" t="str">
        <f>IF(BW5&lt;&gt;BW3,"CHECK", "ok")</f>
        <v>ok</v>
      </c>
      <c r="BX4" s="185"/>
      <c r="BY4" s="185" t="str">
        <f>IF(BY5&lt;&gt;BY3,"CHECK", "ok")</f>
        <v>CHECK</v>
      </c>
      <c r="BZ4" s="185"/>
      <c r="CA4" s="185" t="str">
        <f>IF(CA5&lt;&gt;CA3,"CHECK", "ok")</f>
        <v>CHECK</v>
      </c>
      <c r="CB4" s="185"/>
      <c r="CC4" s="185" t="str">
        <f>IF(CC5&lt;&gt;CC3,"CHECK", "ok")</f>
        <v>ok</v>
      </c>
      <c r="CD4" s="185"/>
      <c r="CE4" s="185" t="str">
        <f>IF(CE5&lt;&gt;CE3,"CHECK", "ok")</f>
        <v>ok</v>
      </c>
      <c r="CF4" s="185"/>
      <c r="CG4" s="185" t="str">
        <f>IF(CG5&lt;&gt;CG3,"CHECK", "ok")</f>
        <v>ok</v>
      </c>
      <c r="CH4" s="185"/>
      <c r="CI4" s="185" t="str">
        <f>IF(CI5&lt;&gt;CI3,"CHECK", "ok")</f>
        <v>ok</v>
      </c>
      <c r="CJ4" s="185"/>
      <c r="CK4" s="185" t="str">
        <f>IF(CK5&lt;&gt;CK3,"CHECK", "ok")</f>
        <v>ok</v>
      </c>
      <c r="CL4" s="185"/>
      <c r="CM4" s="185" t="str">
        <f>IF(CM5&lt;&gt;CM3,"CHECK", "ok")</f>
        <v>ok</v>
      </c>
      <c r="CN4" s="185"/>
      <c r="CO4" s="185" t="str">
        <f>IF(CO5&lt;&gt;CO3,"CHECK", "ok")</f>
        <v>ok</v>
      </c>
      <c r="CP4" s="185"/>
      <c r="CQ4" s="185" t="str">
        <f>IF(CQ5&lt;&gt;CQ3,"CHECK", "ok")</f>
        <v>CHECK</v>
      </c>
      <c r="CR4" s="185"/>
      <c r="CS4" s="185" t="str">
        <f>IF(CS5&lt;&gt;CS3,"CHECK", "ok")</f>
        <v>ok</v>
      </c>
      <c r="CT4" s="185"/>
      <c r="CU4" s="185" t="str">
        <f>IF(CU5&lt;&gt;CU3,"CHECK", "ok")</f>
        <v>ok</v>
      </c>
      <c r="CV4" s="185"/>
      <c r="CW4" s="185" t="str">
        <f>IF(CW5&lt;&gt;CW3,"CHECK", "ok")</f>
        <v>ok</v>
      </c>
      <c r="CX4" s="185"/>
      <c r="CY4" s="185" t="str">
        <f>IF(CY5&lt;&gt;CY3,"CHECK", "ok")</f>
        <v>ok</v>
      </c>
      <c r="CZ4" s="185"/>
      <c r="DA4" s="185" t="str">
        <f>IF(DA5&lt;&gt;DA3,"CHECK", "ok")</f>
        <v>ok</v>
      </c>
      <c r="DB4" s="185"/>
      <c r="DC4" s="185" t="str">
        <f>IF(DC5&lt;&gt;DC3,"CHECK", "ok")</f>
        <v>ok</v>
      </c>
      <c r="DD4" s="185"/>
      <c r="DE4" s="185" t="str">
        <f>IF(DE5&lt;&gt;DE3,"CHECK", "ok")</f>
        <v>ok</v>
      </c>
      <c r="DF4" s="185"/>
      <c r="DG4" s="185" t="str">
        <f>IF(DG5&lt;&gt;DG3,"CHECK", "ok")</f>
        <v>ok</v>
      </c>
      <c r="DH4" s="185"/>
      <c r="DI4" s="185" t="str">
        <f>IF(DI5&lt;&gt;DI3,"CHECK", "ok")</f>
        <v>ok</v>
      </c>
      <c r="DJ4" s="185"/>
      <c r="DK4" s="185" t="str">
        <f>IF(DK5&lt;&gt;DK3,"CHECK", "ok")</f>
        <v>CHECK</v>
      </c>
      <c r="DL4" s="185"/>
      <c r="DM4" s="185" t="str">
        <f>IF(DM5&lt;&gt;DM3,"CHECK", "ok")</f>
        <v>CHECK</v>
      </c>
      <c r="DN4" s="185"/>
      <c r="DO4" s="185" t="str">
        <f>IF(DO5&lt;&gt;DO3,"CHECK", "ok")</f>
        <v>ok</v>
      </c>
      <c r="DP4" s="185"/>
      <c r="DQ4" s="185" t="str">
        <f>IF(DQ5&lt;&gt;DQ3,"CHECK", "ok")</f>
        <v>ok</v>
      </c>
      <c r="DR4" s="185"/>
      <c r="DS4" s="185" t="str">
        <f>IF(DS5&lt;&gt;DS3,"CHECK", "ok")</f>
        <v>ok</v>
      </c>
      <c r="DT4" s="185"/>
      <c r="DU4" s="185" t="str">
        <f>IF(DU5&lt;&gt;DU3,"CHECK", "ok")</f>
        <v>ok</v>
      </c>
      <c r="DV4" s="185"/>
      <c r="DW4" s="185" t="str">
        <f>IF(DW5&lt;&gt;DW3,"CHECK", "ok")</f>
        <v>ok</v>
      </c>
      <c r="DX4" s="185"/>
      <c r="DY4" s="185" t="str">
        <f>IF(DY5&lt;&gt;DY3,"CHECK", "ok")</f>
        <v>ok</v>
      </c>
      <c r="DZ4" s="185"/>
      <c r="EA4" s="185" t="str">
        <f>IF(EA5&lt;&gt;EA3,"CHECK", "ok")</f>
        <v>ok</v>
      </c>
      <c r="EB4" s="185"/>
      <c r="EC4" s="185" t="str">
        <f>IF(EC5&lt;&gt;EC3,"CHECK", "ok")</f>
        <v>CHECK</v>
      </c>
      <c r="ED4" s="185"/>
      <c r="EE4" s="185" t="str">
        <f>IF(EE5&lt;&gt;EE3,"CHECK", "ok")</f>
        <v>CHECK</v>
      </c>
      <c r="EF4" s="185"/>
      <c r="EG4" s="185" t="str">
        <f>IF(EG5&lt;&gt;EG3,"CHECK", "ok")</f>
        <v>CHECK</v>
      </c>
      <c r="EH4" s="185"/>
      <c r="EI4" s="185"/>
      <c r="EJ4" s="185" t="str">
        <f t="shared" ref="EJ4:EO4" si="1">IF(EJ5&lt;&gt;EJ3,"CHECK", "ok")</f>
        <v>CHECK</v>
      </c>
      <c r="EK4" s="185" t="str">
        <f t="shared" si="1"/>
        <v>CHECK</v>
      </c>
      <c r="EL4" s="185" t="str">
        <f t="shared" si="1"/>
        <v>CHECK</v>
      </c>
      <c r="EM4" s="185" t="str">
        <f t="shared" si="1"/>
        <v>CHECK</v>
      </c>
      <c r="EN4" s="185" t="str">
        <f t="shared" si="1"/>
        <v>CHECK</v>
      </c>
      <c r="EO4" s="185" t="str">
        <f t="shared" si="1"/>
        <v>CHECK</v>
      </c>
      <c r="EP4" s="185"/>
      <c r="EQ4" s="185" t="str">
        <f>IF(EQ5&lt;&gt;EQ3,"CHECK", "ok")</f>
        <v>CHECK</v>
      </c>
      <c r="ER4" s="185" t="str">
        <f>IF(ER5&lt;&gt;ER3,"CHECK", "ok")</f>
        <v>CHECK</v>
      </c>
      <c r="ES4" s="185" t="str">
        <f>IF(ES5&lt;&gt;ES3,"CHECK", "ok")</f>
        <v>CHECK</v>
      </c>
      <c r="ET4" s="185" t="str">
        <f>IF(ET5&lt;&gt;ET3,"CHECK", "ok")</f>
        <v>CHECK</v>
      </c>
      <c r="EU4" s="185" t="str">
        <f>IF(EU5&lt;&gt;EU3,"CHECK", "ok")</f>
        <v>CHECK</v>
      </c>
      <c r="EV4" s="185"/>
      <c r="EW4" s="185" t="str">
        <f>IF(EW5&lt;&gt;EW3,"CHECK", "ok")</f>
        <v>CHECK</v>
      </c>
      <c r="EX4" s="185"/>
      <c r="EY4" s="185" t="str">
        <f>IF(EY5&lt;&gt;EY3,"CHECK", "ok")</f>
        <v>ok</v>
      </c>
      <c r="EZ4" s="185"/>
      <c r="FA4" s="185" t="str">
        <f>IF(FA5&lt;&gt;FA3,"CHECK", "ok")</f>
        <v>ok</v>
      </c>
      <c r="FB4" s="185"/>
      <c r="FC4" s="185" t="str">
        <f>IF(FC5&lt;&gt;FC3,"CHECK", "ok")</f>
        <v>ok</v>
      </c>
      <c r="FD4" s="185"/>
      <c r="FE4" s="185" t="str">
        <f>IF(FE5&lt;&gt;FE3,"CHECK", "ok")</f>
        <v>CHECK</v>
      </c>
      <c r="FF4" s="185"/>
      <c r="FG4" s="185" t="str">
        <f>IF(FG5&lt;&gt;FG3,"CHECK", "ok")</f>
        <v>ok</v>
      </c>
      <c r="FH4" s="185"/>
      <c r="FI4" s="185" t="str">
        <f>IF(FI5&lt;&gt;FI3,"CHECK", "ok")</f>
        <v>CHECK</v>
      </c>
    </row>
    <row r="5" spans="1:201" ht="104.25" hidden="1" customHeight="1">
      <c r="A5" s="473"/>
      <c r="B5" s="972" t="str">
        <f>IF(MONTH(F17)=1, IF(MONTH(J17)=12, "Ricky: Use Calendar Year Paste Append!", ""),"")</f>
        <v/>
      </c>
      <c r="C5" s="212" t="str">
        <f>$B$23</f>
        <v>Housing Units - Gross Potential Tenant Rents</v>
      </c>
      <c r="D5" s="212" t="str">
        <f>$B$24</f>
        <v>Rental Assistance Payments (identify ALL sources in row below if applicable, including LOSP funding)</v>
      </c>
      <c r="E5" s="212" t="str">
        <f>$B$25</f>
        <v xml:space="preserve">    Source/s----&gt;   </v>
      </c>
      <c r="F5" s="212" t="str">
        <f>$B$26</f>
        <v>Commercial Unit Rents</v>
      </c>
      <c r="G5" s="212" t="str">
        <f>$B$29</f>
        <v>Housing Units</v>
      </c>
      <c r="H5" s="212" t="str">
        <f>$B$30</f>
        <v>Commercial</v>
      </c>
      <c r="I5" s="212" t="str">
        <f>$B$36</f>
        <v>Garage and Parking Spaces</v>
      </c>
      <c r="J5" s="212"/>
      <c r="K5" s="212" t="str">
        <f>$B$37</f>
        <v>Miscellaneous Rent Income</v>
      </c>
      <c r="L5" s="212"/>
      <c r="M5" s="212" t="str">
        <f>$B$38</f>
        <v>Supportive Services Income - Do not enter supportive services income if it is tracked in a separate budget and not appropriate per MOHCD loan terms to be included in Residual Receipts calculation.</v>
      </c>
      <c r="N5" s="212" t="str">
        <f>$B$39</f>
        <v xml:space="preserve">    Supportive Services Income Source/s- identify program source(s) if applicable --&gt;</v>
      </c>
      <c r="O5" s="212" t="str">
        <f>$B$40</f>
        <v>Interest Income - Project Operations (From Operating Account Only)</v>
      </c>
      <c r="P5" s="212"/>
      <c r="Q5" s="212" t="str">
        <f>$B$41</f>
        <v>Laundry and Vending</v>
      </c>
      <c r="R5" s="212"/>
      <c r="S5" s="212" t="str">
        <f>$B$42</f>
        <v>Tenant Charges</v>
      </c>
      <c r="T5" s="212"/>
      <c r="U5" s="212" t="str">
        <f>$B$43</f>
        <v>Other Revenue</v>
      </c>
      <c r="V5" s="212"/>
      <c r="W5" s="212" t="str">
        <f>$B$46</f>
        <v>TOTAL INCOME RECEIVED:</v>
      </c>
      <c r="X5" s="212"/>
      <c r="Y5" s="212"/>
      <c r="Z5" s="212" t="str">
        <f>$B$120</f>
        <v>3. NET OPERATING INCOME:</v>
      </c>
      <c r="AA5" s="212"/>
      <c r="AB5" s="212"/>
      <c r="AC5" s="212"/>
      <c r="AD5" s="212" t="str">
        <f>$B$123</f>
        <v>Lender1 - Principal Paid (provide lender name to the right)</v>
      </c>
      <c r="AE5" s="212"/>
      <c r="AF5" s="212" t="str">
        <f>$B$124</f>
        <v xml:space="preserve">               Interest Paid</v>
      </c>
      <c r="AG5" s="212"/>
      <c r="AH5" s="212"/>
      <c r="AI5" s="212" t="str">
        <f>$B$126</f>
        <v>Lender2 - Principal Paid (provide lender name to the right)</v>
      </c>
      <c r="AJ5" s="212"/>
      <c r="AK5" s="212" t="str">
        <f>$B$127</f>
        <v xml:space="preserve">               Interest Paid</v>
      </c>
      <c r="AL5" s="212"/>
      <c r="AM5" s="212"/>
      <c r="AN5" s="212" t="str">
        <f>$B$129</f>
        <v>Lender3 - Principal Paid (provide lender name to the right)</v>
      </c>
      <c r="AO5" s="212"/>
      <c r="AP5" s="212" t="str">
        <f>$B$130</f>
        <v xml:space="preserve">               Interest Paid</v>
      </c>
      <c r="AQ5" s="212"/>
      <c r="AR5" s="212" t="str">
        <f>$B$135</f>
        <v>Total Debt Service Payments</v>
      </c>
      <c r="AS5" s="212"/>
      <c r="AT5" s="212" t="str">
        <f>$B$109</f>
        <v xml:space="preserve">Replacement Reserve Required Annual Deposit (Source is Operating Account.) Enter as positive number. </v>
      </c>
      <c r="AU5" s="212"/>
      <c r="AV5" s="212" t="str">
        <f>$B$110</f>
        <v xml:space="preserve">Operating Reserve Deposits (Source is Operating Account.) Enter as positive number. </v>
      </c>
      <c r="AW5" s="212"/>
      <c r="AX5" s="212" t="str">
        <f>$B$111</f>
        <v xml:space="preserve">Operating Reserve Account Withdrawals (For deposits to Operating Account.) Enter as positive number. </v>
      </c>
      <c r="AY5" s="212"/>
      <c r="AZ5" s="212"/>
      <c r="BA5" s="214" t="str">
        <f>$B$112</f>
        <v xml:space="preserve">Other Required Reserve Account Deposits (Source is Operating Account. Enter as positive number. Identify reserve account in next col) (1330) </v>
      </c>
      <c r="BB5" s="212"/>
      <c r="BC5" s="214" t="str">
        <f>$B$113</f>
        <v>Other Required Reserve Account Withdrawals (For deposit to Operating account. Enter as positive number. Identify account in next col  ----&gt;</v>
      </c>
      <c r="BD5" s="212"/>
      <c r="BE5" s="212" t="str">
        <f>$B$145</f>
        <v>6.  "Below-the-line" Asset Mgt fee (prior written authorization from City/SFRA may be required, see Asset Mgt. Fee Policy).</v>
      </c>
      <c r="BF5" s="212" t="str">
        <f>$B$161</f>
        <v>12b. MOHCD Residual Receipts Due for Ground Lease Residual Rent Payment</v>
      </c>
      <c r="BG5" s="985" t="e">
        <f>#REF!</f>
        <v>#REF!</v>
      </c>
      <c r="BH5" s="985" t="str">
        <f>$B$149</f>
        <v>8b. Investor Services Fee (aka LP Asset Management Fee) accrued but unpaid from PRIOR reporting periods, if any (tax credit projects only; per City policy, not allowed if project is beyond 15-year compliance period).</v>
      </c>
      <c r="BI5" s="212"/>
      <c r="BJ5" s="985" t="e">
        <f>#REF!</f>
        <v>#REF!</v>
      </c>
      <c r="BK5" s="985" t="e">
        <f>#REF!</f>
        <v>#REF!</v>
      </c>
      <c r="BL5" s="214"/>
      <c r="BM5" s="212" t="str">
        <f>$B$172</f>
        <v>Proposed Other Distributions/Uses (provide description in column D and enter amount in column J. If an amount is entered, a description is required. If you had a Calendar Year LOSP surplus, please acknowledge that and note exact amount.)</v>
      </c>
      <c r="BN5" s="212"/>
      <c r="BO5" s="212" t="str">
        <f>$B$52</f>
        <v>Management Fee</v>
      </c>
      <c r="BP5" s="212"/>
      <c r="BQ5" s="212" t="str">
        <f>$B$53</f>
        <v>"Above the Line" Asset Management Fee (amount allowable may be limited, see Asset Mgt. Fee Policy)</v>
      </c>
      <c r="BR5" s="212"/>
      <c r="BS5" s="212" t="str">
        <f>$B$60</f>
        <v>Administrative Rent Free Unit</v>
      </c>
      <c r="BT5" s="212"/>
      <c r="BU5" s="212" t="str">
        <f>$B$56</f>
        <v>Office Salaries</v>
      </c>
      <c r="BV5" s="212"/>
      <c r="BW5" s="212" t="str">
        <f>$B$57</f>
        <v>Manager's Salary</v>
      </c>
      <c r="BX5" s="212"/>
      <c r="BY5" s="212" t="str">
        <f>$B$58</f>
        <v xml:space="preserve">Employee Benefits: Health Insurance &amp; Disability Insurance </v>
      </c>
      <c r="BZ5" s="212"/>
      <c r="CA5" s="212" t="str">
        <f>$B$59</f>
        <v>Employee Benefits: Retirement &amp; Other Salary/Benefit Expenses</v>
      </c>
      <c r="CB5" s="212"/>
      <c r="CC5" s="212" t="str">
        <f>$B$63</f>
        <v>Advertising and Marketing</v>
      </c>
      <c r="CD5" s="212"/>
      <c r="CE5" s="212" t="str">
        <f>$B$64</f>
        <v>Office Expenses</v>
      </c>
      <c r="CF5" s="212"/>
      <c r="CG5" s="212" t="str">
        <f>$B$65</f>
        <v>Office Rent</v>
      </c>
      <c r="CH5" s="212"/>
      <c r="CI5" s="212" t="str">
        <f>$B$66</f>
        <v>Legal Expense - Property</v>
      </c>
      <c r="CJ5" s="212"/>
      <c r="CK5" s="212" t="str">
        <f>$B$67</f>
        <v>Audit Expense</v>
      </c>
      <c r="CL5" s="212"/>
      <c r="CM5" s="212" t="str">
        <f>$B$68</f>
        <v>Bookkeeping/Accounting Services</v>
      </c>
      <c r="CN5" s="212"/>
      <c r="CO5" s="212" t="str">
        <f>$B$69</f>
        <v>Bad Debts</v>
      </c>
      <c r="CP5" s="212"/>
      <c r="CQ5" s="212" t="str">
        <f>$B$70</f>
        <v>Miscellaneous Administrative Expenses (must click &amp; explain if &gt;$10k)</v>
      </c>
      <c r="CR5" s="212"/>
      <c r="CS5" s="212" t="str">
        <f>$B$73</f>
        <v>Electricity</v>
      </c>
      <c r="CT5" s="212"/>
      <c r="CU5" s="212" t="str">
        <f>$B$74</f>
        <v>Water</v>
      </c>
      <c r="CV5" s="212"/>
      <c r="CW5" s="212" t="str">
        <f>$B$75</f>
        <v>Gas</v>
      </c>
      <c r="CX5" s="212"/>
      <c r="CY5" s="212" t="str">
        <f>$B$76</f>
        <v>Sewer</v>
      </c>
      <c r="CZ5" s="212"/>
      <c r="DA5" s="212" t="str">
        <f>$B$79</f>
        <v>Real Estate Taxes</v>
      </c>
      <c r="DB5" s="212"/>
      <c r="DC5" s="212" t="str">
        <f>$B$80</f>
        <v>Payroll taxes</v>
      </c>
      <c r="DD5" s="212"/>
      <c r="DE5" s="212" t="str">
        <f>$B$81</f>
        <v>Miscellaneous Taxes, Licenses, and Permits</v>
      </c>
      <c r="DF5" s="212"/>
      <c r="DG5" s="212" t="str">
        <f>$B$84</f>
        <v>Property and Liability Insurance</v>
      </c>
      <c r="DH5" s="212"/>
      <c r="DI5" s="212" t="str">
        <f>$B$85</f>
        <v>Fidelity Bond Insurance</v>
      </c>
      <c r="DJ5" s="212"/>
      <c r="DK5" s="212" t="str">
        <f>$B$86</f>
        <v>Workers' Compensation</v>
      </c>
      <c r="DL5" s="212"/>
      <c r="DM5" s="212" t="str">
        <f>$B$87</f>
        <v>Directors &amp; Officers Liabilities Insurance</v>
      </c>
      <c r="DN5" s="212"/>
      <c r="DO5" s="212" t="str">
        <f>$B$91</f>
        <v>Payroll</v>
      </c>
      <c r="DP5" s="212"/>
      <c r="DQ5" s="212" t="str">
        <f>$B$92</f>
        <v>Supplies</v>
      </c>
      <c r="DR5" s="212"/>
      <c r="DS5" s="212" t="str">
        <f>$B$93</f>
        <v>Contracts</v>
      </c>
      <c r="DT5" s="212"/>
      <c r="DU5" s="212" t="str">
        <f>$B$94</f>
        <v>Garbage and Trash Removal</v>
      </c>
      <c r="DV5" s="212"/>
      <c r="DW5" s="212" t="str">
        <f>$B$95</f>
        <v>Security Payroll/Contract</v>
      </c>
      <c r="DX5" s="212"/>
      <c r="DY5" s="212" t="str">
        <f>$B$96</f>
        <v>HVAC Repairs and Maintenance</v>
      </c>
      <c r="DZ5" s="212"/>
      <c r="EA5" s="212" t="str">
        <f>$B$97</f>
        <v>Vehicle and Maintenance Equipment Operation and Repairs</v>
      </c>
      <c r="EB5" s="212"/>
      <c r="EC5" s="212" t="str">
        <f>$B$98</f>
        <v>Miscellaneous Operating and Maintenance Expenses (must click &amp; explain if &gt;$10k)</v>
      </c>
      <c r="ED5" s="212"/>
      <c r="EE5" s="212" t="str">
        <f>$B$100</f>
        <v>Supportive Services: do not enter supportive services expenses if tracked in separate budget and not eligible to be counted against project income for residual receipts calculation.</v>
      </c>
      <c r="EF5" s="212"/>
      <c r="EG5" s="212" t="str">
        <f>$B$101</f>
        <v>SUB-TOTAL OPERATING EXPENSES:</v>
      </c>
      <c r="EH5" s="212"/>
      <c r="EI5" s="212"/>
      <c r="EJ5" s="212" t="str">
        <f>$B$183</f>
        <v>Annual Withdrawal Amount (enter as negative number):</v>
      </c>
      <c r="EK5" s="214" t="str">
        <f>$B$179</f>
        <v>Minimum Required Balance:</v>
      </c>
      <c r="EL5" s="212" t="str">
        <f>$B$180</f>
        <v>Beginning Balance:</v>
      </c>
      <c r="EM5" s="212" t="str">
        <f>$B$184</f>
        <v>Ending Balance (don't edit cell -- calculated):</v>
      </c>
      <c r="EN5" s="212" t="str">
        <f>$B$185</f>
        <v>Required Annual Deposit:</v>
      </c>
      <c r="EO5" s="212"/>
      <c r="EP5" s="212" t="str">
        <f>$B$187</f>
        <v>If the calculated percentage shown to the right (Op Reserve Account Ending Balance divided by Total Op Expenses) is less than 23.5%, you must describe how the project will remedy the shortfall in the adjacent cell. 
If the calculated percentage shown to the right is greater than 26.5%, you must explain why the Op Reserve balance exceeds MOHCD's requirement in the adjacent cell.</v>
      </c>
      <c r="EQ5" s="212" t="str">
        <f>$B$194</f>
        <v>Annual Withdrawal Amount (enter as negative number):</v>
      </c>
      <c r="ER5" s="214" t="str">
        <f>$B$190</f>
        <v>Minimum Required Balance:</v>
      </c>
      <c r="ES5" s="212" t="str">
        <f>$B$191</f>
        <v>Beginning Balance:</v>
      </c>
      <c r="ET5" s="212" t="str">
        <f>$B$195</f>
        <v>Ending Balance (don't edit cell -- calculated):</v>
      </c>
      <c r="EU5" s="212" t="str">
        <f>$B$196</f>
        <v>Required Annual Deposit (do not edit - taken from  page 1 account number 1320):</v>
      </c>
      <c r="EV5" s="212" t="str">
        <f>$B$197</f>
        <v>Describe how the amount of annual deposit and the minimum required balance is determined.</v>
      </c>
      <c r="EW5" s="212" t="str">
        <f>$B$244</f>
        <v>Total CDBG Program Income Calculation(see instructions for guidance on how to calculate)</v>
      </c>
      <c r="EX5" s="212"/>
      <c r="EY5" s="212" t="str">
        <f>$B$239</f>
        <v>Amount to be used for CDBG eligible activity#1 (provide amount in cell to the right, and activity description and regulation citation in column furthest to the right):</v>
      </c>
      <c r="EZ5" s="212"/>
      <c r="FA5" s="212" t="str">
        <f>$B$240</f>
        <v>Amount to be used for CDBG eligible activity#2 (provide amount in cell to the right, and activity description and regulation citation in column furthest to the right):</v>
      </c>
      <c r="FB5" s="212"/>
      <c r="FC5" s="212" t="str">
        <f>$B$241</f>
        <v>Amount to be used for CDBG eligible activity#3 (provide amount in cell to the right, and activity description and regulation citation in column furthest to the right):</v>
      </c>
      <c r="FD5" s="212"/>
      <c r="FE5" s="212" t="str">
        <f>$B$242</f>
        <v>Amount to be deposited for use on future eligible CDBG activities that will be undertaken by June 30, 2017 (provide amount in cell to the right, and activity description and regulation citation in column furthest to the right):</v>
      </c>
      <c r="FF5" s="212"/>
      <c r="FG5" s="212" t="str">
        <f>$B$243</f>
        <v>Other (provide amount in cell to the right, plus activity description and regulation citation in column furthest to the right):</v>
      </c>
      <c r="FH5" s="212"/>
      <c r="FI5" s="212" t="str">
        <f>$B$113</f>
        <v>Other Required Reserve Account Withdrawals (For deposit to Operating account. Enter as positive number. Identify account in next col  ----&gt;</v>
      </c>
    </row>
    <row r="6" spans="1:201" ht="114.75" hidden="1" customHeight="1">
      <c r="A6" s="471" t="s">
        <v>266</v>
      </c>
      <c r="B6" s="472" t="s">
        <v>267</v>
      </c>
      <c r="C6" s="1638" t="str">
        <f>E23</f>
        <v>INCM_RentalIncom_Resid</v>
      </c>
      <c r="D6" s="1638" t="str">
        <f>E24</f>
        <v>INCM_TenantAssistance_Amount</v>
      </c>
      <c r="E6" s="1636" t="str">
        <f>C25</f>
        <v>INCM_TenantAssit_Sources</v>
      </c>
      <c r="F6" s="1655" t="str">
        <f>G26</f>
        <v>INCM_RentalIncome_Commercial</v>
      </c>
      <c r="G6" s="1638" t="str">
        <f>E29</f>
        <v>INCM_VacLossHousingUnits</v>
      </c>
      <c r="H6" s="1655" t="str">
        <f>G30</f>
        <v>INCM_VacLossCommercial</v>
      </c>
      <c r="I6" s="1638" t="str">
        <f>E36</f>
        <v>INCM_ParkingSpaces</v>
      </c>
      <c r="J6" s="1655" t="str">
        <f>G36</f>
        <v>INCM_ParkingSpaces_cmmercl</v>
      </c>
      <c r="K6" s="1638" t="str">
        <f>E37</f>
        <v>INCM_MiscRentIncome</v>
      </c>
      <c r="L6" s="1655" t="str">
        <f>G37</f>
        <v>INCM_MiscRentIncome_cmmercl</v>
      </c>
      <c r="M6" s="1638" t="str">
        <f>E38</f>
        <v>INCM_SuppServices_Income</v>
      </c>
      <c r="N6" s="1636" t="str">
        <f>C39</f>
        <v>INCM_SuppServices_Sources</v>
      </c>
      <c r="O6" s="1638" t="str">
        <f>E40</f>
        <v>INCM_IntIncome_ProjOps</v>
      </c>
      <c r="P6" s="1655" t="str">
        <f>G40</f>
        <v>INCM_IntIncome_ProjOps_cmmercl</v>
      </c>
      <c r="Q6" s="1638" t="str">
        <f>E41</f>
        <v>INCM_LaundryVending</v>
      </c>
      <c r="R6" s="1655" t="str">
        <f>G41</f>
        <v>INCM_LaundryVending_cmmercl</v>
      </c>
      <c r="S6" s="1638" t="str">
        <f>E42</f>
        <v>INCM_TenantCharges</v>
      </c>
      <c r="T6" s="1655" t="str">
        <f>G42</f>
        <v>INCM_TenantCharges_cmmercl</v>
      </c>
      <c r="U6" s="1638" t="str">
        <f>E43</f>
        <v>INCM_MiscOtherIncome</v>
      </c>
      <c r="V6" s="1655" t="str">
        <f>G43</f>
        <v>INCM_MiscOtherIncome_cmmercl</v>
      </c>
      <c r="W6" s="1638" t="str">
        <f>E46</f>
        <v>INCM_TotalIncome</v>
      </c>
      <c r="X6" s="1655" t="str">
        <f>G46</f>
        <v>INCM_TotalIncome_cmmercl</v>
      </c>
      <c r="Y6" s="1661" t="str">
        <f>I46</f>
        <v>INCM_TotalIncome_TOTAL</v>
      </c>
      <c r="Z6" s="1638" t="str">
        <f>E120</f>
        <v>NOI-2</v>
      </c>
      <c r="AA6" s="1655" t="str">
        <f>G120</f>
        <v>NOI-2_cmmercl</v>
      </c>
      <c r="AB6" s="1661" t="str">
        <f>I120</f>
        <v>NOI-2_TOTAL</v>
      </c>
      <c r="AC6" s="1636" t="str">
        <f>C123</f>
        <v>CF_PrincplPaidLender1_lendername</v>
      </c>
      <c r="AD6" s="1638" t="str">
        <f>E123</f>
        <v>CF_PrincplPaidLender1</v>
      </c>
      <c r="AE6" s="1655" t="str">
        <f>G123</f>
        <v>CF_PrincplPaidLender1_cmmercl</v>
      </c>
      <c r="AF6" s="1638" t="str">
        <f>E124</f>
        <v>CF_IntPaidLender1</v>
      </c>
      <c r="AG6" s="1655" t="str">
        <f>G124</f>
        <v>CF_IntPaidLender1_cmmercl</v>
      </c>
      <c r="AH6" s="1636" t="str">
        <f>C126</f>
        <v>CF_PrincplPaidLender2_lendername</v>
      </c>
      <c r="AI6" s="1638" t="str">
        <f>E126</f>
        <v>CF_PrincplPaidLender2</v>
      </c>
      <c r="AJ6" s="1655" t="str">
        <f>G126</f>
        <v>CF_PrincplPaidLender2_cmmercl</v>
      </c>
      <c r="AK6" s="1638" t="str">
        <f>E127</f>
        <v>CF_IntPaidLender2</v>
      </c>
      <c r="AL6" s="1655" t="str">
        <f>G127</f>
        <v>CF_IntPaidLender2_cmmercl</v>
      </c>
      <c r="AM6" s="1636" t="str">
        <f>C129</f>
        <v>CF_PrincplPaidLender3_lendername</v>
      </c>
      <c r="AN6" s="1638" t="str">
        <f>E129</f>
        <v>CF_PrincplPaidLender3</v>
      </c>
      <c r="AO6" s="1655" t="str">
        <f>G129</f>
        <v>CF_PrincplPaidLender3_cmmercl</v>
      </c>
      <c r="AP6" s="1638" t="str">
        <f>E130</f>
        <v>CF_IntPaidLender3</v>
      </c>
      <c r="AQ6" s="1655" t="str">
        <f>G130</f>
        <v>CF_IntPaidLender3_cmmercl</v>
      </c>
      <c r="AR6" s="1638" t="str">
        <f>E135</f>
        <v>CF_TotalDebtServicePmts</v>
      </c>
      <c r="AS6" s="1655" t="str">
        <f>G135</f>
        <v>CF_TotalDebtServicePmts_cmmercl</v>
      </c>
      <c r="AT6" s="1638" t="str">
        <f>E109</f>
        <v>CF_ReplcmtRsrvDeposits</v>
      </c>
      <c r="AU6" s="1655" t="str">
        <f>G109</f>
        <v>CF_ReplcmtRsrvDeposits_cmmercl</v>
      </c>
      <c r="AV6" s="1638" t="str">
        <f>E110</f>
        <v>CF_OpRsrvDeposits</v>
      </c>
      <c r="AW6" s="1655" t="str">
        <f>G110</f>
        <v>CF_OpRsrvDeposits_cmmercl</v>
      </c>
      <c r="AX6" s="1638" t="str">
        <f>E111</f>
        <v>CF_OpRsrvWdrawals</v>
      </c>
      <c r="AY6" s="1655" t="str">
        <f>G111</f>
        <v>CF_OpRsrvWdrawals_cmmercl</v>
      </c>
      <c r="AZ6" s="1636" t="str">
        <f>C112</f>
        <v>CF_OtherRqdRsrv_Identify</v>
      </c>
      <c r="BA6" s="1638" t="str">
        <f>E112</f>
        <v>CF_OtherRqdRsrvDeposits</v>
      </c>
      <c r="BB6" s="1655" t="str">
        <f>G112</f>
        <v>CF_OtherRqdRsrvDeposits_cmmercl</v>
      </c>
      <c r="BC6" s="1638" t="str">
        <f>E113</f>
        <v>CF_OtherRqdRsrvWdrawals</v>
      </c>
      <c r="BD6" s="1655" t="str">
        <f>G113</f>
        <v>CF_OtherRqdRsrvWdrawals_cmmercl</v>
      </c>
      <c r="BE6" s="1661" t="str">
        <f>I145</f>
        <v>CF_AssetMgtFeeExcess3k</v>
      </c>
      <c r="BF6" s="1661" t="str">
        <f>I161</f>
        <v>CF_GroundLeasePmt</v>
      </c>
      <c r="BG6" s="1661" t="str">
        <f>I146</f>
        <v>CF_PshipMgtFee</v>
      </c>
      <c r="BH6" s="1661" t="str">
        <f>I150</f>
        <v>CF_DfrrdDevFee</v>
      </c>
      <c r="BI6" s="1661" t="str">
        <f>I158</f>
        <v>RR_ResRcts_TOTAL</v>
      </c>
      <c r="BJ6" s="1661" t="str">
        <f>I160</f>
        <v>RR_ProposedResRctsPmt</v>
      </c>
      <c r="BK6" s="1661" t="str">
        <f>I171</f>
        <v>RR_ProposedOwnerDistrib</v>
      </c>
      <c r="BL6" s="1636" t="str">
        <f>C171</f>
        <v>RR_ProposedOwnerDistrib_describe</v>
      </c>
      <c r="BM6" s="1661" t="str">
        <f>I172</f>
        <v>RR_PropsedOtherDistrib</v>
      </c>
      <c r="BN6" s="1636" t="str">
        <f>C172</f>
        <v>RR_PropsedOtherDistrib_describe</v>
      </c>
      <c r="BO6" s="1638" t="str">
        <f>E52</f>
        <v>EXP_MgtFee</v>
      </c>
      <c r="BP6" s="1655" t="str">
        <f>G52</f>
        <v>EXP_MgtFee_commercial</v>
      </c>
      <c r="BQ6" s="1638" t="str">
        <f>E53</f>
        <v>EXP_AssetMgtFee</v>
      </c>
      <c r="BR6" s="1655" t="str">
        <f>G53</f>
        <v>EXP_AssetMgtFee_commercial</v>
      </c>
      <c r="BS6" s="1638" t="str">
        <f>E60</f>
        <v>EXP_AdminRentFreeUnit</v>
      </c>
      <c r="BT6" s="1655" t="str">
        <f>G60</f>
        <v>EXP_AdminRentFreeUnit_commercial</v>
      </c>
      <c r="BU6" s="1638" t="str">
        <f>E56</f>
        <v>EXP_OfficeSalaries</v>
      </c>
      <c r="BV6" s="1655" t="str">
        <f>G56</f>
        <v>EXP_OfficeSalaries_commercial</v>
      </c>
      <c r="BW6" s="1638" t="str">
        <f>E57</f>
        <v>EXP_MgrSalary</v>
      </c>
      <c r="BX6" s="1655" t="str">
        <f>G57</f>
        <v>EXP_MgrSalary_commercial</v>
      </c>
      <c r="BY6" s="1638" t="str">
        <f>E58</f>
        <v>EXP_HelthInsOtherBenefits</v>
      </c>
      <c r="BZ6" s="1655" t="str">
        <f>G58</f>
        <v>EXP_HelthInsOtherBenefits_commercial</v>
      </c>
      <c r="CA6" s="1638" t="str">
        <f>E59</f>
        <v>EXP_OthersalaryBenefits</v>
      </c>
      <c r="CB6" s="1655" t="str">
        <f>G59</f>
        <v>EXP_OthersalaryBenefits_commercial</v>
      </c>
      <c r="CC6" s="1638" t="str">
        <f>E63</f>
        <v>EXP_AdvertMarketing</v>
      </c>
      <c r="CD6" s="1655" t="str">
        <f>G63</f>
        <v>EXP_AdvertMarketing_commercial</v>
      </c>
      <c r="CE6" s="1638" t="str">
        <f>E64</f>
        <v>EXP_OfficeExp</v>
      </c>
      <c r="CF6" s="1655" t="str">
        <f>G64</f>
        <v>EXP_OfficeExp_commercial</v>
      </c>
      <c r="CG6" s="1638" t="str">
        <f>E65</f>
        <v>EXP_OfficeRent</v>
      </c>
      <c r="CH6" s="1655" t="str">
        <f>G65</f>
        <v>EXP_OfficeRent_commercial</v>
      </c>
      <c r="CI6" s="1638" t="str">
        <f>E66</f>
        <v>EXP_LegalExp-PPT</v>
      </c>
      <c r="CJ6" s="1655" t="str">
        <f>G66</f>
        <v>EXP_LegalExp-PPT_commercial</v>
      </c>
      <c r="CK6" s="1638" t="str">
        <f>E67</f>
        <v>EXP_Audit</v>
      </c>
      <c r="CL6" s="1655" t="str">
        <f>G67</f>
        <v>EXP_Audit_commercial</v>
      </c>
      <c r="CM6" s="1638" t="str">
        <f>E68</f>
        <v>EXP_BookkeepingAccntngSvcs</v>
      </c>
      <c r="CN6" s="1655" t="str">
        <f>G68</f>
        <v>EXP_BookkeepingAccntngSvcs_commercial</v>
      </c>
      <c r="CO6" s="1638" t="str">
        <f>E69</f>
        <v>EXP_BadDebts</v>
      </c>
      <c r="CP6" s="1655" t="str">
        <f>G69</f>
        <v>EXP_BadDebts_commercial</v>
      </c>
      <c r="CQ6" s="1638" t="str">
        <f>E70</f>
        <v>EXP_MiscAdminExp</v>
      </c>
      <c r="CR6" s="1655" t="str">
        <f>G70</f>
        <v>EXP_MiscAdminExp_commercial</v>
      </c>
      <c r="CS6" s="1638" t="str">
        <f>E73</f>
        <v>EXP_Electricity</v>
      </c>
      <c r="CT6" s="1655" t="str">
        <f>G73</f>
        <v>EXP_Electricity_commercial</v>
      </c>
      <c r="CU6" s="1638" t="str">
        <f>E74</f>
        <v>EXP_Water</v>
      </c>
      <c r="CV6" s="1655" t="str">
        <f>G74</f>
        <v>EXP_Water_commercial</v>
      </c>
      <c r="CW6" s="1638" t="str">
        <f>E75</f>
        <v>EXP_Gas</v>
      </c>
      <c r="CX6" s="1655" t="str">
        <f>G75</f>
        <v>EXP_Gas_commercial</v>
      </c>
      <c r="CY6" s="1638" t="str">
        <f>E76</f>
        <v>EXP_Sewer</v>
      </c>
      <c r="CZ6" s="1655" t="str">
        <f>G76</f>
        <v>EXP_Sewer_commercial</v>
      </c>
      <c r="DA6" s="1638" t="str">
        <f>E79</f>
        <v>EXP_RealEstateTaxes</v>
      </c>
      <c r="DB6" s="1655" t="str">
        <f>G79</f>
        <v>EXP_RealEstateTaxes_commercial</v>
      </c>
      <c r="DC6" s="1638" t="str">
        <f>E80</f>
        <v>EXP_PayrollTaxes</v>
      </c>
      <c r="DD6" s="1655" t="str">
        <f>G80</f>
        <v>EXP_PayrollTaxes_commercial</v>
      </c>
      <c r="DE6" s="1638" t="str">
        <f>E81</f>
        <v>EXP_MiscTaxesLicensesPermits</v>
      </c>
      <c r="DF6" s="1655" t="str">
        <f>G81</f>
        <v>EXP_MiscTaxesLicensesPermits_commercial</v>
      </c>
      <c r="DG6" s="1638" t="str">
        <f>E84</f>
        <v>EXP_PropertyAndLiabInsur</v>
      </c>
      <c r="DH6" s="1655" t="str">
        <f>G84</f>
        <v>EXP_PropertyAndLiabInsur_commercial</v>
      </c>
      <c r="DI6" s="1638" t="str">
        <f>E85</f>
        <v>EXP_FidelityBondInsur</v>
      </c>
      <c r="DJ6" s="1655" t="str">
        <f>G85</f>
        <v>EXP_FidelityBondInsur_commercial</v>
      </c>
      <c r="DK6" s="1638" t="str">
        <f>E86</f>
        <v>EXP_WorkersComp</v>
      </c>
      <c r="DL6" s="1655" t="str">
        <f>G86</f>
        <v>EXP_WorkersComp_commercial</v>
      </c>
      <c r="DM6" s="1638" t="str">
        <f>E87</f>
        <v>EXP_DirectorOfficerLiabInsur</v>
      </c>
      <c r="DN6" s="1655" t="str">
        <f>G87</f>
        <v>EXP_DirectorOfficerLiabInsur_commercial</v>
      </c>
      <c r="DO6" s="1638" t="str">
        <f>E91</f>
        <v>EXP_MaintRepairPayroll</v>
      </c>
      <c r="DP6" s="1655" t="str">
        <f>G91</f>
        <v>EXP_MaintRepairPayroll_commercial</v>
      </c>
      <c r="DQ6" s="1638" t="str">
        <f>E92</f>
        <v>EXP_Supplies</v>
      </c>
      <c r="DR6" s="1655" t="str">
        <f>G92</f>
        <v>EXP_Supplies_commercial</v>
      </c>
      <c r="DS6" s="1638" t="str">
        <f>E93</f>
        <v>EXP_Contracts</v>
      </c>
      <c r="DT6" s="1655" t="str">
        <f>G93</f>
        <v>EXP_Contracts_commercial</v>
      </c>
      <c r="DU6" s="1638" t="str">
        <f>E94</f>
        <v>EXP_GarbageTrashRemoval</v>
      </c>
      <c r="DV6" s="1655" t="str">
        <f>G94</f>
        <v>EXP_GarbageTrashRemoval_commercial</v>
      </c>
      <c r="DW6" s="1638" t="str">
        <f>E95</f>
        <v>EXP_SecurityPayrollAndOrContract</v>
      </c>
      <c r="DX6" s="1655" t="str">
        <f>G95</f>
        <v>EXP_SecurityPayrollAndOrContract_commercial</v>
      </c>
      <c r="DY6" s="1638" t="str">
        <f>E96</f>
        <v>EXP_HVACRepairsMaint</v>
      </c>
      <c r="DZ6" s="1655" t="str">
        <f>G96</f>
        <v>EXP_HVACRepairsMaint_commercial</v>
      </c>
      <c r="EA6" s="1638" t="str">
        <f>E97</f>
        <v>EXP_VehicleAndMaintEquipmtOpsAndRepairs</v>
      </c>
      <c r="EB6" s="1655" t="str">
        <f>G97</f>
        <v>EXP_VehicleAndMaintEquipmtOpsAndRepairs_commercial</v>
      </c>
      <c r="EC6" s="1638" t="str">
        <f>E98</f>
        <v>EXP_MiscOpsMaintExpenses</v>
      </c>
      <c r="ED6" s="1655" t="str">
        <f>G98</f>
        <v>EXP_MiscOpsMaintExpenses_commercial</v>
      </c>
      <c r="EE6" s="1638" t="str">
        <f>E100</f>
        <v>EXP_SuppSvcs</v>
      </c>
      <c r="EF6" s="1655" t="str">
        <f>G100</f>
        <v>EXP_SuppSvcs_commercial</v>
      </c>
      <c r="EG6" s="1638" t="str">
        <f>E101</f>
        <v>EXP_TOT_OP_EXPENSES</v>
      </c>
      <c r="EH6" s="1655" t="str">
        <f>G101</f>
        <v>EXP_TOT_OP_EXPENSES_commercial</v>
      </c>
      <c r="EI6" s="1661" t="str">
        <f>I101</f>
        <v>EXP_TOT_OP_EXPENSES_TOTAL</v>
      </c>
      <c r="EJ6" s="1636" t="str">
        <f>C183</f>
        <v>OpRsrv_AnnlWDrawal</v>
      </c>
      <c r="EK6" s="1636" t="str">
        <f>C179</f>
        <v>OpRsrv_MinBalReqd</v>
      </c>
      <c r="EL6" s="1636" t="str">
        <f>C180</f>
        <v>OpRsrv_BegBal</v>
      </c>
      <c r="EM6" s="1636" t="str">
        <f>C184</f>
        <v>OpRsrv_EndBal</v>
      </c>
      <c r="EN6" s="1636" t="str">
        <f>C185</f>
        <v>OpRsrv_MinReqdAnnlDep</v>
      </c>
      <c r="EO6" s="1636" t="str">
        <f>C187</f>
        <v>OpRsrv_EndBal_PctgOfOpExpenses</v>
      </c>
      <c r="EP6" s="1638" t="str">
        <f>E187</f>
        <v>OpRsrv_EndBal_PctgOfOpExpenses_EXPLAIN</v>
      </c>
      <c r="EQ6" s="1636" t="str">
        <f>C194</f>
        <v>ReplRsrv_AnnlWDrawal</v>
      </c>
      <c r="ER6" s="1636" t="str">
        <f>C190</f>
        <v>ReplRsrv_MinBalReqd</v>
      </c>
      <c r="ES6" s="1636" t="str">
        <f>C191</f>
        <v>ReplRsrv_BegBal</v>
      </c>
      <c r="ET6" s="1636" t="str">
        <f>C195</f>
        <v>ReplRsrv_EndBal</v>
      </c>
      <c r="EU6" s="1636" t="str">
        <f>C196</f>
        <v>ReplRsrv_MinReqdAnnlDep</v>
      </c>
      <c r="EV6" s="1636" t="str">
        <f>C197</f>
        <v>ReplRsrv_MinBalReqd_HowDetermnd</v>
      </c>
      <c r="EW6" s="1636" t="str">
        <f>C244</f>
        <v>PgmIncm_CDBG_PGM_INCOME_Tot</v>
      </c>
      <c r="EX6" s="1638" t="str">
        <f>E244</f>
        <v>PgmIncm_CDBG_PGM_INCOME_NOTES</v>
      </c>
      <c r="EY6" s="1636" t="str">
        <f>C239</f>
        <v>PgmIncm_AmtCDBGActivity1</v>
      </c>
      <c r="EZ6" s="1638" t="str">
        <f>E239</f>
        <v>PgmIncm_AmtCDBGActivity1_notes</v>
      </c>
      <c r="FA6" s="1636" t="str">
        <f>C240</f>
        <v>PgmIncm_AmtCDBGActivity2</v>
      </c>
      <c r="FB6" s="1638" t="str">
        <f>E240</f>
        <v>PgmIncm_AmtCDBGActivity2_notes</v>
      </c>
      <c r="FC6" s="1636" t="str">
        <f>C241</f>
        <v>PgmIncm_AmtCDBGActivity3</v>
      </c>
      <c r="FD6" s="1638" t="str">
        <f>E241</f>
        <v>PgmIncm_AmtCDBGActivity3_notes</v>
      </c>
      <c r="FE6" s="1636" t="str">
        <f>C242</f>
        <v>PgmIncm_AmtCDBGFutureActivities</v>
      </c>
      <c r="FF6" s="1638" t="str">
        <f>E242</f>
        <v>PgmIncm_AmtCDBGFutureActivities_notes</v>
      </c>
      <c r="FG6" s="1636" t="str">
        <f>C243</f>
        <v>PgmIncm_Other</v>
      </c>
      <c r="FH6" s="1638" t="str">
        <f>E243</f>
        <v>PgmIncm_Other_notes</v>
      </c>
      <c r="FI6" s="1636" t="str">
        <f>C113</f>
        <v>CF_OtherRqdRsrvWdrawals_Sources</v>
      </c>
      <c r="FJ6" s="1658" t="str">
        <f>$G$109</f>
        <v>CF_ReplcmtRsrvDeposits_cmmercl</v>
      </c>
      <c r="FK6" s="1658" t="str">
        <f>$G$110</f>
        <v>CF_OpRsrvDeposits_cmmercl</v>
      </c>
      <c r="FL6" s="1658" t="str">
        <f>$G$111</f>
        <v>CF_OpRsrvWdrawals_cmmercl</v>
      </c>
      <c r="FM6" s="1658" t="str">
        <f>$G$112</f>
        <v>CF_OtherRqdRsrvDeposits_cmmercl</v>
      </c>
      <c r="FN6" s="1658" t="str">
        <f>$G$113</f>
        <v>CF_OtherRqdRsrvWdrawals_cmmercl</v>
      </c>
    </row>
    <row r="7" spans="1:201" s="19" customFormat="1" ht="12.75" hidden="1" customHeight="1">
      <c r="A7" s="1652" t="e">
        <f>' 1A.Prop&amp;Residents'!$A$7</f>
        <v>#N/A</v>
      </c>
      <c r="B7" s="196" t="str">
        <f>' 1A.Prop&amp;Residents'!$B$7</f>
        <v/>
      </c>
      <c r="C7" s="1641">
        <f>VLOOKUP(C6,$E$17:$F$245,2,FALSE)</f>
        <v>0</v>
      </c>
      <c r="D7" s="1641">
        <f>VLOOKUP(D6,$E$17:$F$245,2,FALSE)</f>
        <v>0</v>
      </c>
      <c r="E7" s="1642">
        <f>VLOOKUP(E6,$C$17:$D$245,2,FALSE)</f>
        <v>0</v>
      </c>
      <c r="F7" s="1641">
        <f>VLOOKUP(F6,$G$17:$H$245,2,FALSE)</f>
        <v>0</v>
      </c>
      <c r="G7" s="1641">
        <f>VLOOKUP(G6,$E$17:$F$245,2,FALSE)</f>
        <v>0</v>
      </c>
      <c r="H7" s="1641">
        <f>VLOOKUP(H6,$G$17:$H$245,2,FALSE)</f>
        <v>0</v>
      </c>
      <c r="I7" s="1641">
        <f>VLOOKUP(I6,$E$17:$F$245,2,FALSE)</f>
        <v>0</v>
      </c>
      <c r="J7" s="1641">
        <f>VLOOKUP(J6,$G$17:$H$245,2,FALSE)</f>
        <v>0</v>
      </c>
      <c r="K7" s="1641">
        <f>VLOOKUP(K6,$E$17:$F$245,2,FALSE)</f>
        <v>0</v>
      </c>
      <c r="L7" s="1641">
        <f>VLOOKUP(L6,$G$17:$H$245,2,FALSE)</f>
        <v>0</v>
      </c>
      <c r="M7" s="1641">
        <f>VLOOKUP(M6,$E$17:$F$245,2,FALSE)</f>
        <v>0</v>
      </c>
      <c r="N7" s="1641">
        <f>VLOOKUP(N6,$C$17:$D$245,2,FALSE)</f>
        <v>0</v>
      </c>
      <c r="O7" s="1641">
        <f>VLOOKUP(O6,$E$17:$F$245,2,FALSE)</f>
        <v>0</v>
      </c>
      <c r="P7" s="1641">
        <f>VLOOKUP(P6,$G$17:$H$245,2,FALSE)</f>
        <v>0</v>
      </c>
      <c r="Q7" s="1641">
        <f>VLOOKUP(Q6,$E$17:$F$245,2,FALSE)</f>
        <v>0</v>
      </c>
      <c r="R7" s="1641">
        <f>VLOOKUP(R6,$G$17:$H$245,2,FALSE)</f>
        <v>0</v>
      </c>
      <c r="S7" s="1641">
        <f>VLOOKUP(S6,$E$17:$F$245,2,FALSE)</f>
        <v>0</v>
      </c>
      <c r="T7" s="1641">
        <f>VLOOKUP(T6,$G$17:$H$245,2,FALSE)</f>
        <v>0</v>
      </c>
      <c r="U7" s="1641">
        <f>VLOOKUP(U6,$E$17:$F$245,2,FALSE)</f>
        <v>0</v>
      </c>
      <c r="V7" s="1641">
        <f>VLOOKUP(V6,$G$17:$H$245,2,FALSE)</f>
        <v>0</v>
      </c>
      <c r="W7" s="1641">
        <f>VLOOKUP(W6,$E$17:$F$245,2,FALSE)</f>
        <v>0</v>
      </c>
      <c r="X7" s="1641">
        <f>VLOOKUP(X6,$G$17:$H$245,2,FALSE)</f>
        <v>0</v>
      </c>
      <c r="Y7" s="1641">
        <f>VLOOKUP(Y6,$I$17:$J$245,2,FALSE)</f>
        <v>0</v>
      </c>
      <c r="Z7" s="1641">
        <f>VLOOKUP(Z6,$E$17:$F$245,2,FALSE)</f>
        <v>0</v>
      </c>
      <c r="AA7" s="1641">
        <f>VLOOKUP(AA6,$G$17:$H$245,2,FALSE)</f>
        <v>0</v>
      </c>
      <c r="AB7" s="1641">
        <f>VLOOKUP(AB6,$I$17:$J$245,2,FALSE)</f>
        <v>0</v>
      </c>
      <c r="AC7" s="1641">
        <f>VLOOKUP(AC6,$C$17:$D$245,2,FALSE)</f>
        <v>0</v>
      </c>
      <c r="AD7" s="1641">
        <f>VLOOKUP(AD6,$E$17:$F$245,2,FALSE)</f>
        <v>0</v>
      </c>
      <c r="AE7" s="1641">
        <f>VLOOKUP(AE6,$G$17:$H$245,2,FALSE)</f>
        <v>0</v>
      </c>
      <c r="AF7" s="1641">
        <f>VLOOKUP(AF6,$E$17:$F$245,2,FALSE)</f>
        <v>0</v>
      </c>
      <c r="AG7" s="1641">
        <f>VLOOKUP(AG6,$G$17:$H$245,2,FALSE)</f>
        <v>0</v>
      </c>
      <c r="AH7" s="1643">
        <f>VLOOKUP(AH6,$C$17:$E$245,2,FALSE)</f>
        <v>0</v>
      </c>
      <c r="AI7" s="1641">
        <f>VLOOKUP(AI6,$E$17:$F$245,2,FALSE)</f>
        <v>0</v>
      </c>
      <c r="AJ7" s="1641">
        <f>VLOOKUP(AJ6,$G$17:$H$245,2,FALSE)</f>
        <v>0</v>
      </c>
      <c r="AK7" s="1641">
        <f>VLOOKUP(AK6,$E$17:$F$245,2,FALSE)</f>
        <v>0</v>
      </c>
      <c r="AL7" s="1641">
        <f>VLOOKUP(AL6,$G$17:$H$245,2,FALSE)</f>
        <v>0</v>
      </c>
      <c r="AM7" s="1641">
        <f>VLOOKUP(AM6,$C$17:$D$245,2,FALSE)</f>
        <v>0</v>
      </c>
      <c r="AN7" s="1641">
        <f>VLOOKUP(AN6,$E$17:$F$245,2,FALSE)</f>
        <v>0</v>
      </c>
      <c r="AO7" s="1641">
        <f>VLOOKUP(AO6,$G$17:$H$245,2,FALSE)</f>
        <v>0</v>
      </c>
      <c r="AP7" s="1641">
        <f>VLOOKUP(AP6,$E$17:$F$245,2,FALSE)</f>
        <v>0</v>
      </c>
      <c r="AQ7" s="1641">
        <f>VLOOKUP(AQ6,$G$17:$H$245,2,FALSE)</f>
        <v>0</v>
      </c>
      <c r="AR7" s="1641">
        <f>VLOOKUP(AR6,$E$17:$F$245,2,FALSE)</f>
        <v>0</v>
      </c>
      <c r="AS7" s="1641">
        <f>VLOOKUP(AS6,$G$17:$H$245,2,FALSE)</f>
        <v>0</v>
      </c>
      <c r="AT7" s="1641">
        <f>VLOOKUP(AT6,$E$17:$F$245,2,FALSE)</f>
        <v>0</v>
      </c>
      <c r="AU7" s="1641">
        <f>VLOOKUP(AU6,$G$17:$H$245,2,FALSE)</f>
        <v>0</v>
      </c>
      <c r="AV7" s="1641">
        <f>VLOOKUP(AV6,$E$17:$F$245,2,FALSE)</f>
        <v>0</v>
      </c>
      <c r="AW7" s="1641">
        <f>VLOOKUP(AW6,$G$17:$H$245,2,FALSE)</f>
        <v>0</v>
      </c>
      <c r="AX7" s="1641">
        <f>VLOOKUP(AX6,$E$17:$F$245,2,FALSE)</f>
        <v>0</v>
      </c>
      <c r="AY7" s="1641">
        <f>VLOOKUP(AY6,$G$17:$H$245,2,FALSE)</f>
        <v>0</v>
      </c>
      <c r="AZ7" s="1641">
        <f>VLOOKUP(AZ6,$C$17:$D$245,2,FALSE)</f>
        <v>0</v>
      </c>
      <c r="BA7" s="1641">
        <f>VLOOKUP(BA6,$E$17:$F$245,2,FALSE)</f>
        <v>0</v>
      </c>
      <c r="BB7" s="1641">
        <f>VLOOKUP(BB6,$G$17:$H$245,2,FALSE)</f>
        <v>0</v>
      </c>
      <c r="BC7" s="1641">
        <f>VLOOKUP(BC6,$E$17:$F$245,2,FALSE)</f>
        <v>0</v>
      </c>
      <c r="BD7" s="1641">
        <f>VLOOKUP(BD6,$G$17:$H$245,2,FALSE)</f>
        <v>0</v>
      </c>
      <c r="BE7" s="1641">
        <f t="shared" ref="BE7:BK7" si="2">VLOOKUP(BE6,$I$17:$J$245,2,FALSE)</f>
        <v>0</v>
      </c>
      <c r="BF7" s="1641">
        <f t="shared" si="2"/>
        <v>0</v>
      </c>
      <c r="BG7" s="1641">
        <f t="shared" si="2"/>
        <v>0</v>
      </c>
      <c r="BH7" s="1641">
        <f t="shared" si="2"/>
        <v>0</v>
      </c>
      <c r="BI7" s="1641">
        <f t="shared" si="2"/>
        <v>0</v>
      </c>
      <c r="BJ7" s="1641">
        <f t="shared" si="2"/>
        <v>0</v>
      </c>
      <c r="BK7" s="1641">
        <f t="shared" si="2"/>
        <v>0</v>
      </c>
      <c r="BL7" s="1643">
        <f>VLOOKUP(BL6,$C$17:$E$245,2,FALSE)</f>
        <v>0</v>
      </c>
      <c r="BM7" s="1641">
        <f>VLOOKUP(BM6,$I$17:$J$245,2,FALSE)</f>
        <v>0</v>
      </c>
      <c r="BN7" s="1643">
        <f>VLOOKUP(BN6,$C$17:$E$245,2,FALSE)</f>
        <v>0</v>
      </c>
      <c r="BO7" s="1641">
        <f>VLOOKUP(BO6,$E$17:$F$245,2,FALSE)</f>
        <v>0</v>
      </c>
      <c r="BP7" s="1641">
        <f>VLOOKUP(BP6,$G$17:$H$245,2,FALSE)</f>
        <v>0</v>
      </c>
      <c r="BQ7" s="1641">
        <f>VLOOKUP(BQ6,$E$17:$F$245,2,FALSE)</f>
        <v>0</v>
      </c>
      <c r="BR7" s="1641">
        <f>VLOOKUP(BR6,$G$17:$H$245,2,FALSE)</f>
        <v>0</v>
      </c>
      <c r="BS7" s="1641">
        <f>VLOOKUP(BS6,$E$17:$F$245,2,FALSE)</f>
        <v>0</v>
      </c>
      <c r="BT7" s="1641">
        <f>VLOOKUP(BT6,$G$17:$H$245,2,FALSE)</f>
        <v>0</v>
      </c>
      <c r="BU7" s="1641">
        <f>VLOOKUP(BU6,$E$17:$F$245,2,FALSE)</f>
        <v>0</v>
      </c>
      <c r="BV7" s="1641">
        <f>VLOOKUP(BV6,$G$17:$H$245,2,FALSE)</f>
        <v>0</v>
      </c>
      <c r="BW7" s="1641">
        <f>VLOOKUP(BW6,$E$17:$F$245,2,FALSE)</f>
        <v>0</v>
      </c>
      <c r="BX7" s="1641">
        <f>VLOOKUP(BX6,$G$17:$H$245,2,FALSE)</f>
        <v>0</v>
      </c>
      <c r="BY7" s="1641">
        <f>VLOOKUP(BY6,$E$17:$F$245,2,FALSE)</f>
        <v>0</v>
      </c>
      <c r="BZ7" s="1641">
        <f>VLOOKUP(BZ6,$G$17:$H$245,2,FALSE)</f>
        <v>0</v>
      </c>
      <c r="CA7" s="1641">
        <f>VLOOKUP(CA6,$E$17:$F$245,2,FALSE)</f>
        <v>0</v>
      </c>
      <c r="CB7" s="1641">
        <f>VLOOKUP(CB6,$G$17:$H$245,2,FALSE)</f>
        <v>0</v>
      </c>
      <c r="CC7" s="1641">
        <f>VLOOKUP(CC6,$E$17:$F$245,2,FALSE)</f>
        <v>0</v>
      </c>
      <c r="CD7" s="1641">
        <f>VLOOKUP(CD6,$G$17:$H$245,2,FALSE)</f>
        <v>0</v>
      </c>
      <c r="CE7" s="1641">
        <f>VLOOKUP(CE6,$E$17:$F$245,2,FALSE)</f>
        <v>0</v>
      </c>
      <c r="CF7" s="1641">
        <f>VLOOKUP(CF6,$G$17:$H$245,2,FALSE)</f>
        <v>0</v>
      </c>
      <c r="CG7" s="1641">
        <f>VLOOKUP(CG6,$E$17:$F$245,2,FALSE)</f>
        <v>0</v>
      </c>
      <c r="CH7" s="1641">
        <f>VLOOKUP(CH6,$G$17:$H$245,2,FALSE)</f>
        <v>0</v>
      </c>
      <c r="CI7" s="1641">
        <f>VLOOKUP(CI6,$E$17:$F$245,2,FALSE)</f>
        <v>0</v>
      </c>
      <c r="CJ7" s="1641">
        <f>VLOOKUP(CJ6,$G$17:$H$245,2,FALSE)</f>
        <v>0</v>
      </c>
      <c r="CK7" s="1641">
        <f>VLOOKUP(CK6,$E$17:$F$245,2,FALSE)</f>
        <v>0</v>
      </c>
      <c r="CL7" s="1641">
        <f>VLOOKUP(CL6,$G$17:$H$245,2,FALSE)</f>
        <v>0</v>
      </c>
      <c r="CM7" s="1641">
        <f>VLOOKUP(CM6,$E$17:$F$245,2,FALSE)</f>
        <v>0</v>
      </c>
      <c r="CN7" s="1641">
        <f>VLOOKUP(CN6,$G$17:$H$245,2,FALSE)</f>
        <v>0</v>
      </c>
      <c r="CO7" s="1641">
        <f>VLOOKUP(CO6,$E$17:$F$245,2,FALSE)</f>
        <v>0</v>
      </c>
      <c r="CP7" s="1641">
        <f>VLOOKUP(CP6,$G$17:$H$245,2,FALSE)</f>
        <v>0</v>
      </c>
      <c r="CQ7" s="1641">
        <f>VLOOKUP(CQ6,$E$17:$F$245,2,FALSE)</f>
        <v>0</v>
      </c>
      <c r="CR7" s="1641">
        <f>VLOOKUP(CR6,$G$17:$H$245,2,FALSE)</f>
        <v>0</v>
      </c>
      <c r="CS7" s="1641">
        <f>VLOOKUP(CS6,$E$17:$F$245,2,FALSE)</f>
        <v>0</v>
      </c>
      <c r="CT7" s="1641">
        <f>VLOOKUP(CT6,$G$17:$H$245,2,FALSE)</f>
        <v>0</v>
      </c>
      <c r="CU7" s="1641">
        <f>VLOOKUP(CU6,$E$17:$F$245,2,FALSE)</f>
        <v>0</v>
      </c>
      <c r="CV7" s="1641">
        <f>VLOOKUP(CV6,$G$17:$H$245,2,FALSE)</f>
        <v>0</v>
      </c>
      <c r="CW7" s="1641">
        <f>VLOOKUP(CW6,$E$17:$F$245,2,FALSE)</f>
        <v>0</v>
      </c>
      <c r="CX7" s="1641">
        <f>VLOOKUP(CX6,$G$17:$H$245,2,FALSE)</f>
        <v>0</v>
      </c>
      <c r="CY7" s="1641">
        <f>VLOOKUP(CY6,$E$17:$F$245,2,FALSE)</f>
        <v>0</v>
      </c>
      <c r="CZ7" s="1641">
        <f>VLOOKUP(CZ6,$G$17:$H$245,2,FALSE)</f>
        <v>0</v>
      </c>
      <c r="DA7" s="1641">
        <f>VLOOKUP(DA6,$E$17:$F$245,2,FALSE)</f>
        <v>0</v>
      </c>
      <c r="DB7" s="1641">
        <f>VLOOKUP(DB6,$G$17:$H$245,2,FALSE)</f>
        <v>0</v>
      </c>
      <c r="DC7" s="1641">
        <f>VLOOKUP(DC6,$E$17:$F$245,2,FALSE)</f>
        <v>0</v>
      </c>
      <c r="DD7" s="1641">
        <f>VLOOKUP(DD6,$G$17:$H$245,2,FALSE)</f>
        <v>0</v>
      </c>
      <c r="DE7" s="1641">
        <f>VLOOKUP(DE6,$E$17:$F$245,2,FALSE)</f>
        <v>0</v>
      </c>
      <c r="DF7" s="1641">
        <f>VLOOKUP(DF6,$G$17:$H$245,2,FALSE)</f>
        <v>0</v>
      </c>
      <c r="DG7" s="1641">
        <f>VLOOKUP(DG6,$E$17:$F$245,2,FALSE)</f>
        <v>0</v>
      </c>
      <c r="DH7" s="1641">
        <f>VLOOKUP(DH6,$G$17:$H$245,2,FALSE)</f>
        <v>0</v>
      </c>
      <c r="DI7" s="1641">
        <f>VLOOKUP(DI6,$E$17:$F$245,2,FALSE)</f>
        <v>0</v>
      </c>
      <c r="DJ7" s="1641">
        <f>VLOOKUP(DJ6,$G$17:$H$245,2,FALSE)</f>
        <v>0</v>
      </c>
      <c r="DK7" s="1641">
        <f>VLOOKUP(DK6,$E$17:$F$245,2,FALSE)</f>
        <v>0</v>
      </c>
      <c r="DL7" s="1641">
        <f>VLOOKUP(DL6,$G$17:$H$245,2,FALSE)</f>
        <v>0</v>
      </c>
      <c r="DM7" s="1641">
        <f>VLOOKUP(DM6,$E$17:$F$245,2,FALSE)</f>
        <v>0</v>
      </c>
      <c r="DN7" s="1641">
        <f>VLOOKUP(DN6,$G$17:$H$245,2,FALSE)</f>
        <v>0</v>
      </c>
      <c r="DO7" s="1641">
        <f>VLOOKUP(DO6,$E$17:$F$245,2,FALSE)</f>
        <v>0</v>
      </c>
      <c r="DP7" s="1641">
        <f>VLOOKUP(DP6,$G$17:$H$245,2,FALSE)</f>
        <v>0</v>
      </c>
      <c r="DQ7" s="1641">
        <f>VLOOKUP(DQ6,$E$17:$F$245,2,FALSE)</f>
        <v>0</v>
      </c>
      <c r="DR7" s="1641">
        <f>VLOOKUP(DR6,$G$17:$H$245,2,FALSE)</f>
        <v>0</v>
      </c>
      <c r="DS7" s="1641">
        <f>VLOOKUP(DS6,$E$17:$F$245,2,FALSE)</f>
        <v>0</v>
      </c>
      <c r="DT7" s="1641">
        <f>VLOOKUP(DT6,$G$17:$H$245,2,FALSE)</f>
        <v>0</v>
      </c>
      <c r="DU7" s="1641">
        <f>VLOOKUP(DU6,$E$17:$F$245,2,FALSE)</f>
        <v>0</v>
      </c>
      <c r="DV7" s="1641">
        <f>VLOOKUP(DV6,$G$17:$H$245,2,FALSE)</f>
        <v>0</v>
      </c>
      <c r="DW7" s="1641">
        <f>VLOOKUP(DW6,$E$17:$F$245,2,FALSE)</f>
        <v>0</v>
      </c>
      <c r="DX7" s="1641">
        <f>VLOOKUP(DX6,$G$17:$H$245,2,FALSE)</f>
        <v>0</v>
      </c>
      <c r="DY7" s="1641">
        <f>VLOOKUP(DY6,$E$17:$F$245,2,FALSE)</f>
        <v>0</v>
      </c>
      <c r="DZ7" s="1641">
        <f>VLOOKUP(DZ6,$G$17:$H$245,2,FALSE)</f>
        <v>0</v>
      </c>
      <c r="EA7" s="1641">
        <f>VLOOKUP(EA6,$E$17:$F$245,2,FALSE)</f>
        <v>0</v>
      </c>
      <c r="EB7" s="1641">
        <f>VLOOKUP(EB6,$G$17:$H$245,2,FALSE)</f>
        <v>0</v>
      </c>
      <c r="EC7" s="1641">
        <f>VLOOKUP(EC6,$E$17:$F$245,2,FALSE)</f>
        <v>0</v>
      </c>
      <c r="ED7" s="1641">
        <f>VLOOKUP(ED6,$G$17:$H$245,2,FALSE)</f>
        <v>0</v>
      </c>
      <c r="EE7" s="1641">
        <f>VLOOKUP(EE6,$E$17:$F$245,2,FALSE)</f>
        <v>0</v>
      </c>
      <c r="EF7" s="1641">
        <f>VLOOKUP(EF6,$G$17:$H$245,2,FALSE)</f>
        <v>0</v>
      </c>
      <c r="EG7" s="1641">
        <f>VLOOKUP(EG6,$E$17:$F$245,2,FALSE)</f>
        <v>0</v>
      </c>
      <c r="EH7" s="1641">
        <f>VLOOKUP(EH6,$G$17:$H$245,2,FALSE)</f>
        <v>0</v>
      </c>
      <c r="EI7" s="1641">
        <f>VLOOKUP(EI6,$I$17:$J$245,2,FALSE)</f>
        <v>0</v>
      </c>
      <c r="EJ7" s="1641">
        <f t="shared" ref="EJ7:EO7" si="3">VLOOKUP(EJ6,$C$17:$D$245,2,FALSE)</f>
        <v>0</v>
      </c>
      <c r="EK7" s="1641">
        <f t="shared" si="3"/>
        <v>0</v>
      </c>
      <c r="EL7" s="1641">
        <f t="shared" si="3"/>
        <v>0</v>
      </c>
      <c r="EM7" s="1641">
        <f t="shared" si="3"/>
        <v>0</v>
      </c>
      <c r="EN7" s="1641">
        <f t="shared" si="3"/>
        <v>0</v>
      </c>
      <c r="EO7" s="1641">
        <f t="shared" si="3"/>
        <v>0</v>
      </c>
      <c r="EP7" s="1641">
        <f>VLOOKUP(EP6,$E$17:$F$245,2,FALSE)</f>
        <v>0</v>
      </c>
      <c r="EQ7" s="1641">
        <f t="shared" ref="EQ7:EW7" si="4">VLOOKUP(EQ6,$C$17:$D$245,2,FALSE)</f>
        <v>0</v>
      </c>
      <c r="ER7" s="1641">
        <f t="shared" si="4"/>
        <v>0</v>
      </c>
      <c r="ES7" s="1641">
        <f t="shared" si="4"/>
        <v>0</v>
      </c>
      <c r="ET7" s="1641">
        <f t="shared" si="4"/>
        <v>0</v>
      </c>
      <c r="EU7" s="1641">
        <f t="shared" si="4"/>
        <v>0</v>
      </c>
      <c r="EV7" s="1641">
        <f t="shared" si="4"/>
        <v>0</v>
      </c>
      <c r="EW7" s="1641">
        <f t="shared" si="4"/>
        <v>0</v>
      </c>
      <c r="EX7" s="1641">
        <f>VLOOKUP(EX6,$E$17:$F$245,2,FALSE)</f>
        <v>0</v>
      </c>
      <c r="EY7" s="1641">
        <f>VLOOKUP(EY6,$C$17:$D$245,2,FALSE)</f>
        <v>0</v>
      </c>
      <c r="EZ7" s="1641">
        <f>VLOOKUP(EZ6,$E$17:$F$245,2,FALSE)</f>
        <v>0</v>
      </c>
      <c r="FA7" s="1641">
        <f>VLOOKUP(FA6,$C$17:$D$245,2,FALSE)</f>
        <v>0</v>
      </c>
      <c r="FB7" s="1641">
        <f>VLOOKUP(FB6,$E$17:$F$245,2,FALSE)</f>
        <v>0</v>
      </c>
      <c r="FC7" s="1641">
        <f>VLOOKUP(FC6,$C$17:$D$245,2,FALSE)</f>
        <v>0</v>
      </c>
      <c r="FD7" s="1641">
        <f>VLOOKUP(FD6,$E$17:$F$245,2,FALSE)</f>
        <v>0</v>
      </c>
      <c r="FE7" s="1641">
        <f>VLOOKUP(FE6,$C$17:$D$245,2,FALSE)</f>
        <v>0</v>
      </c>
      <c r="FF7" s="1641">
        <f>VLOOKUP(FF6,$E$17:$F$245,2,FALSE)</f>
        <v>0</v>
      </c>
      <c r="FG7" s="1641">
        <f>VLOOKUP(FG6,$C$17:$D$245,2,FALSE)</f>
        <v>0</v>
      </c>
      <c r="FH7" s="1641">
        <f>VLOOKUP(FH6,$E$17:$F$245,2,FALSE)</f>
        <v>0</v>
      </c>
      <c r="FI7" s="1641">
        <f>VLOOKUP(FI6,$C$17:$D$245,2,FALSE)</f>
        <v>0</v>
      </c>
      <c r="FJ7" s="1641">
        <f t="shared" ref="FJ7:FN7" si="5">VLOOKUP(FJ6,$G$17:$H$245,2,FALSE)</f>
        <v>0</v>
      </c>
      <c r="FK7" s="1641">
        <f t="shared" si="5"/>
        <v>0</v>
      </c>
      <c r="FL7" s="1641">
        <f t="shared" si="5"/>
        <v>0</v>
      </c>
      <c r="FM7" s="1641">
        <f t="shared" si="5"/>
        <v>0</v>
      </c>
      <c r="FN7" s="1641">
        <f t="shared" si="5"/>
        <v>0</v>
      </c>
    </row>
    <row r="8" spans="1:201" ht="12.75" hidden="1" customHeight="1">
      <c r="A8" s="1212"/>
      <c r="C8"/>
      <c r="E8"/>
      <c r="G8"/>
      <c r="I8"/>
      <c r="K8"/>
      <c r="M8"/>
      <c r="O8"/>
      <c r="Q8"/>
    </row>
    <row r="9" spans="1:201" s="19" customFormat="1" ht="70.95" hidden="1" customHeight="1">
      <c r="A9" s="1653" t="str">
        <f>A6</f>
        <v>ProjKey</v>
      </c>
      <c r="B9" s="1000" t="s">
        <v>267</v>
      </c>
      <c r="C9" s="1661" t="str">
        <f>I151</f>
        <v>CF_OtherPmts_Res</v>
      </c>
      <c r="D9" s="1636" t="str">
        <f>C192</f>
        <v>ReplRsrv_AnnlDepActual</v>
      </c>
      <c r="E9" s="1638" t="str">
        <f>E103</f>
        <v>RR_Elgbl_non-cap_TOT</v>
      </c>
      <c r="F9" s="1638" t="str">
        <f>E104</f>
        <v>TotOpExp-New_Res</v>
      </c>
      <c r="G9" s="1657" t="str">
        <f>G104</f>
        <v>TotOpExp-New_Cmmrcl</v>
      </c>
      <c r="H9" s="1662" t="str">
        <f>I104</f>
        <v>TotOpExp-New_TOT</v>
      </c>
      <c r="I9" s="1636" t="str">
        <f>C125</f>
        <v>Lender1Other_desc</v>
      </c>
      <c r="J9" s="1638" t="str">
        <f>E125</f>
        <v>Lender1Other_Res</v>
      </c>
      <c r="K9" s="1655" t="str">
        <f>G125</f>
        <v>Lender1Other_Cmmrcl</v>
      </c>
      <c r="L9" s="1636" t="str">
        <f>C128</f>
        <v>Lender2Other_desc</v>
      </c>
      <c r="M9" s="1638" t="str">
        <f>E128</f>
        <v>Lender2Other_Res</v>
      </c>
      <c r="N9" s="1655" t="str">
        <f>G128</f>
        <v>Lender2Other_Cmmrcl</v>
      </c>
      <c r="O9" s="1636" t="str">
        <f>C131</f>
        <v>Lender3Other_desc</v>
      </c>
      <c r="P9" s="1638" t="str">
        <f>E131</f>
        <v>Lender3Other_Res</v>
      </c>
      <c r="Q9" s="1659" t="str">
        <f>G131</f>
        <v>Lender3Other_Cmmrcl</v>
      </c>
      <c r="R9" s="1636" t="str">
        <f>C132</f>
        <v>Lender4Name</v>
      </c>
      <c r="S9" s="1638" t="str">
        <f>E132</f>
        <v>Lender4Prncpl_Res</v>
      </c>
      <c r="T9" s="1655" t="str">
        <f>G132</f>
        <v>Lender4Prncpl_Cmmrcl</v>
      </c>
      <c r="U9" s="1638" t="str">
        <f>E133</f>
        <v>Lender4Int_Res</v>
      </c>
      <c r="V9" s="1655" t="str">
        <f>G133</f>
        <v>Lender4Int_Cmmrcl</v>
      </c>
      <c r="W9" s="1636" t="str">
        <f>C134</f>
        <v>Lender4Other_desc</v>
      </c>
      <c r="X9" s="1638" t="str">
        <f>E134</f>
        <v>Lender4Other_Res</v>
      </c>
      <c r="Y9" s="1655" t="str">
        <f>G134</f>
        <v>Lender4Other_Cmmrcl</v>
      </c>
      <c r="Z9" s="1638" t="str">
        <f>E137</f>
        <v>SurplusCash_Res</v>
      </c>
      <c r="AA9" s="1655" t="str">
        <f>G137</f>
        <v>SurplusCash_Cmmrcl</v>
      </c>
      <c r="AB9" s="1661" t="str">
        <f>I137</f>
        <v>SurplusCash_TOT</v>
      </c>
      <c r="AC9" s="1661" t="str">
        <f>I144</f>
        <v>OpRsrvReplnsh_Res</v>
      </c>
      <c r="AD9" s="1661" t="str">
        <f>I147</f>
        <v>PshipMgtFeeAccru_Res</v>
      </c>
      <c r="AE9" s="1661" t="str">
        <f>I148</f>
        <v>LPAMFee_Res</v>
      </c>
      <c r="AF9" s="1661" t="str">
        <f>I149</f>
        <v>LPAMFeeAccru_Res</v>
      </c>
      <c r="AG9" s="1636" t="str">
        <f>C152</f>
        <v>WF_Lender1Name</v>
      </c>
      <c r="AH9" s="1661" t="str">
        <f>I152</f>
        <v>WF_Lender1Prncpl_Res</v>
      </c>
      <c r="AI9" s="1661" t="str">
        <f>I153</f>
        <v>WF_Lender1Int_Res</v>
      </c>
      <c r="AJ9" s="1636" t="str">
        <f>C154</f>
        <v>WF_Lender2Name</v>
      </c>
      <c r="AK9" s="1661" t="str">
        <f>I154</f>
        <v>WF_Lender2Prncpl_Res</v>
      </c>
      <c r="AL9" s="1661" t="str">
        <f>I155</f>
        <v>WF_Lender2Int_Res</v>
      </c>
      <c r="AM9" s="1636" t="str">
        <f>C163</f>
        <v>WF_Lender3Name</v>
      </c>
      <c r="AN9" s="1661" t="str">
        <f>I163</f>
        <v>WF_Lender3Prncpl_Res</v>
      </c>
      <c r="AO9" s="1636" t="str">
        <f>C164</f>
        <v>WF_Lender4Name</v>
      </c>
      <c r="AP9" s="1661" t="str">
        <f>I164</f>
        <v>WF_Lender4Prncpl_Res</v>
      </c>
      <c r="AQ9" s="1661" t="str">
        <f>I174</f>
        <v>FinalBal</v>
      </c>
      <c r="AR9" s="1664" t="str">
        <f>I217</f>
        <v>CapExp_TOT</v>
      </c>
      <c r="AS9" s="1633" t="str">
        <f>A219</f>
        <v>CapExp_Notes</v>
      </c>
      <c r="AT9" s="1661" t="str">
        <f>I223</f>
        <v>RR_Elgbl_non-cap_pdByRR</v>
      </c>
      <c r="AU9" s="1661" t="str">
        <f>I225</f>
        <v>RR_Elgbl_non-cap_TOTALwithRR</v>
      </c>
      <c r="AV9" s="1634" t="str">
        <f>A226</f>
        <v>RR_Elgbl_non-cap_Notes</v>
      </c>
      <c r="AW9" s="1663" t="str">
        <f>I227</f>
        <v>RR_Eligble_TOTAL</v>
      </c>
      <c r="AX9" s="1635" t="str">
        <f>A229</f>
        <v>RR_Eligble_DiscrepNotes</v>
      </c>
      <c r="AY9" s="1636" t="str">
        <f>C107</f>
        <v>GroundLessorName</v>
      </c>
      <c r="AZ9" s="1638" t="str">
        <f>E107</f>
        <v>GroundLessorBaseRent_Res</v>
      </c>
      <c r="BA9" s="1655" t="str">
        <f>G107</f>
        <v>GroundLessorBaseRent_Cmmrcl</v>
      </c>
      <c r="BB9" s="1640" t="str">
        <f>E102</f>
        <v>RR_Elgbl_Cap_Res</v>
      </c>
      <c r="BC9" s="1663" t="str">
        <f>I165</f>
        <v>RezRctsLender5Amt</v>
      </c>
      <c r="BD9" s="1635" t="str">
        <f>A142</f>
        <v>DistDescipt</v>
      </c>
      <c r="BE9" s="1660" t="str">
        <f>G144</f>
        <v>DistPriority1</v>
      </c>
      <c r="BF9" s="1660" t="str">
        <f>G145</f>
        <v>DistPriority2</v>
      </c>
      <c r="BG9" s="1660" t="str">
        <f>G146</f>
        <v>DistPriority3</v>
      </c>
      <c r="BH9" s="1660" t="str">
        <f>G147</f>
        <v>DistPriority4</v>
      </c>
      <c r="BI9" s="1660" t="str">
        <f>G148</f>
        <v>DistPriority5</v>
      </c>
      <c r="BJ9" s="1660" t="str">
        <f>G149</f>
        <v>DistPriority6</v>
      </c>
      <c r="BK9" s="1660" t="str">
        <f>G150</f>
        <v>DistPriority7</v>
      </c>
      <c r="BL9" s="1660" t="str">
        <f>G151</f>
        <v>DistPriority8</v>
      </c>
      <c r="BM9" s="1660" t="str">
        <f>G152</f>
        <v>DistPriority9</v>
      </c>
      <c r="BN9" s="1660" t="str">
        <f>G154</f>
        <v>DistPriority10</v>
      </c>
      <c r="BO9" s="1660" t="str">
        <f>G160</f>
        <v>DistPriority11</v>
      </c>
      <c r="BP9" s="1660" t="str">
        <f>G161</f>
        <v>DistPriority12</v>
      </c>
      <c r="BQ9" s="1660" t="str">
        <f>G163</f>
        <v>DistPriority13</v>
      </c>
      <c r="BR9" s="1660" t="str">
        <f>G164</f>
        <v>DistPriority14</v>
      </c>
      <c r="BS9" s="1660" t="str">
        <f>G165</f>
        <v>DistPriority15</v>
      </c>
      <c r="BT9" s="1639" t="str">
        <f>C182</f>
        <v>OpRsrv_Int</v>
      </c>
      <c r="BU9" s="1639" t="str">
        <f>C193</f>
        <v>ReplRsrv_Int</v>
      </c>
      <c r="BV9" s="1638" t="str">
        <f>E201</f>
        <v>CapExp_BldgImpr_BegBal</v>
      </c>
      <c r="BW9" s="1655" t="str">
        <f>G201</f>
        <v>CapExp_BldgImpr_Change</v>
      </c>
      <c r="BX9" s="1661" t="str">
        <f>I201</f>
        <v>CapExp_BldgImpr_EndBal</v>
      </c>
      <c r="BY9" s="1638" t="str">
        <f>E202</f>
        <v>CapExp_OffsiteImpr_BegBal</v>
      </c>
      <c r="BZ9" s="1655" t="str">
        <f>G202</f>
        <v>CapExp_OffsiteImpr_Change</v>
      </c>
      <c r="CA9" s="1661" t="str">
        <f>I202</f>
        <v>CapExp_OffsiteImpr_EndBal</v>
      </c>
      <c r="CB9" s="1638" t="str">
        <f>E203</f>
        <v>CapExp_SiteImpr_BegBal</v>
      </c>
      <c r="CC9" s="1655" t="str">
        <f>G203</f>
        <v>CapExp_SiteImpr_Change</v>
      </c>
      <c r="CD9" s="1661" t="str">
        <f>I203</f>
        <v>CapExp_SiteImpr_EndBal</v>
      </c>
      <c r="CE9" s="1638" t="str">
        <f>E204</f>
        <v>CapExp_LandImpr_BegBal</v>
      </c>
      <c r="CF9" s="1655" t="str">
        <f>G204</f>
        <v>CapExp_LandImpr_Change</v>
      </c>
      <c r="CG9" s="1661" t="str">
        <f>I204</f>
        <v>CapExp_LandImpr_EndBal</v>
      </c>
      <c r="CH9" s="1638" t="str">
        <f>E205</f>
        <v>CapExp_FurntrFixtrEquip_BegBal</v>
      </c>
      <c r="CI9" s="1655" t="str">
        <f>G205</f>
        <v>CapExp_FurntrFixtrEquip_Change</v>
      </c>
      <c r="CJ9" s="1661" t="str">
        <f>I205</f>
        <v>CapExp_FurntrFixtrEquip_EndBal</v>
      </c>
      <c r="CK9" s="1638" t="str">
        <f>E206</f>
        <v>CapExp_Other_BegBal</v>
      </c>
      <c r="CL9" s="1655" t="str">
        <f>G206</f>
        <v>CapExp_Other_Change</v>
      </c>
      <c r="CM9" s="1661" t="str">
        <f>I206</f>
        <v>CapExp_Other_EndBal</v>
      </c>
      <c r="CN9" s="1636" t="str">
        <f>C211</f>
        <v>CapExp_BldgImpr_ReplRsrv_Amt</v>
      </c>
      <c r="CO9" s="1638" t="str">
        <f>E211</f>
        <v>CapExp_BldgImpr_OpAcct_Amt</v>
      </c>
      <c r="CP9" s="1655" t="str">
        <f>G211</f>
        <v>CapExp_BldgImpr_Other_Amt</v>
      </c>
      <c r="CQ9" s="1636" t="str">
        <f>C212</f>
        <v>CapExp_OffsiteImpr_ReplRsrv_Amt</v>
      </c>
      <c r="CR9" s="1638" t="str">
        <f>E212</f>
        <v>CapExp_OffsiteImpr_OpAcct_Amt</v>
      </c>
      <c r="CS9" s="1655" t="str">
        <f>G212</f>
        <v>CapExp_OffsiteImpr_Other_Amt</v>
      </c>
      <c r="CT9" s="1636" t="str">
        <f>C213</f>
        <v>CapExp_SiteImpr_ReplRsrv_Amt</v>
      </c>
      <c r="CU9" s="1638" t="str">
        <f>E213</f>
        <v>CapExp_SiteImpr_OpAcct_Amt</v>
      </c>
      <c r="CV9" s="1655" t="str">
        <f>G213</f>
        <v>CapExp_SiteImpr_Other_Amt</v>
      </c>
      <c r="CW9" s="1636" t="str">
        <f>C214</f>
        <v>CapExp_LandImpr_ReplRsrv_Amt</v>
      </c>
      <c r="CX9" s="1638" t="str">
        <f>E214</f>
        <v>CapExp_LandImpr_OpAcct_Amt</v>
      </c>
      <c r="CY9" s="1655" t="str">
        <f>G214</f>
        <v>CapExp_LandImpr_Other_Amt</v>
      </c>
      <c r="CZ9" s="1636" t="str">
        <f>C215</f>
        <v>CapExp_FurntrFixtrEquip_ReplRsrv_Amt</v>
      </c>
      <c r="DA9" s="1638" t="str">
        <f>E215</f>
        <v>CapExp_FurntrFixtrEquip_OpAcct_Amt</v>
      </c>
      <c r="DB9" s="1655" t="str">
        <f>G215</f>
        <v>CapExp_FurntrFixtrEquip_Other_Amt</v>
      </c>
      <c r="DC9" s="1636" t="str">
        <f>C216</f>
        <v>CapExp_Other_ReptRsrv_Amt</v>
      </c>
      <c r="DD9" s="1638" t="str">
        <f>E216</f>
        <v>CapExp_Other_OpAcct_Amt</v>
      </c>
      <c r="DE9" s="1655" t="str">
        <f>G216</f>
        <v>CapExp_Other_Other_Amt</v>
      </c>
      <c r="DF9" s="1661" t="str">
        <f>I224</f>
        <v>RR_Elgbl_non-cap_pdByOtherSource</v>
      </c>
      <c r="DG9" s="1661" t="str">
        <f>I162</f>
        <v>RRProposedRezRcts-TOTAL</v>
      </c>
      <c r="DH9" s="1636" t="str">
        <f>$C$108</f>
        <v>CF_BondMonFee_Name</v>
      </c>
      <c r="DI9" s="1638" t="str">
        <f>$E$108</f>
        <v>CF_BondMonFee_Res</v>
      </c>
      <c r="DJ9" s="1655" t="str">
        <f>$G$108</f>
        <v>CF_BondMonFee_Res_Cmmrcl</v>
      </c>
      <c r="DK9" s="1656" t="str">
        <f>C165</f>
        <v>WF_Lender5Name</v>
      </c>
    </row>
    <row r="10" spans="1:201" s="19" customFormat="1" ht="12.75" hidden="1" customHeight="1">
      <c r="A10" s="1652" t="e">
        <f>' 1A.Prop&amp;Residents'!$A$7</f>
        <v>#N/A</v>
      </c>
      <c r="B10" s="196" t="str">
        <f>' 1A.Prop&amp;Residents'!$B$7</f>
        <v/>
      </c>
      <c r="C10" s="1645">
        <f>VLOOKUP(C9,$I$17:$J$245,2,FALSE)</f>
        <v>0</v>
      </c>
      <c r="D10" s="1645">
        <f>VLOOKUP(D9,$C$17:$D$245,2,FALSE)</f>
        <v>0</v>
      </c>
      <c r="E10" s="1641">
        <f>VLOOKUP(E9,$E$17:$F$245,2,FALSE)</f>
        <v>0</v>
      </c>
      <c r="F10" s="1646">
        <f>VLOOKUP(F9,$E$17:$F$245,2,FALSE)</f>
        <v>0</v>
      </c>
      <c r="G10" s="1641">
        <f>VLOOKUP(G9,$G$17:$H$245,2,FALSE)</f>
        <v>0</v>
      </c>
      <c r="H10" s="1641">
        <f>VLOOKUP(H9,$I$17:$J$245,2,FALSE)</f>
        <v>0</v>
      </c>
      <c r="I10" s="1003">
        <f>VLOOKUP(I9,$C$17:$D$245,2,FALSE)</f>
        <v>0</v>
      </c>
      <c r="J10" s="1641">
        <f>VLOOKUP(J9,$E$17:$F$245,2,FALSE)</f>
        <v>0</v>
      </c>
      <c r="K10" s="1641">
        <f>VLOOKUP(K9,$G$17:$H$245,2,FALSE)</f>
        <v>0</v>
      </c>
      <c r="L10" s="1003">
        <f>VLOOKUP(L9,$C$17:$D$245,2,FALSE)</f>
        <v>0</v>
      </c>
      <c r="M10" s="1641">
        <f>VLOOKUP(M9,$E$17:$F$245,2,FALSE)</f>
        <v>0</v>
      </c>
      <c r="N10" s="1641">
        <f>VLOOKUP(N9,$G$17:$H$245,2,FALSE)</f>
        <v>0</v>
      </c>
      <c r="O10" s="1644">
        <f>VLOOKUP(O9,$C$17:$D$245,2,FALSE)</f>
        <v>0</v>
      </c>
      <c r="P10" s="1641">
        <f>VLOOKUP(P9,$E$17:$F$245,2,FALSE)</f>
        <v>0</v>
      </c>
      <c r="Q10" s="1641">
        <f>VLOOKUP(Q9,$G$17:$H$245,2,FALSE)</f>
        <v>0</v>
      </c>
      <c r="R10" s="1641">
        <f>VLOOKUP(R9,$C$17:$D$245,2,FALSE)</f>
        <v>0</v>
      </c>
      <c r="S10" s="1641">
        <f>VLOOKUP(S9,$E$17:$F$245,2,FALSE)</f>
        <v>0</v>
      </c>
      <c r="T10" s="1641">
        <f>VLOOKUP(T9,$G$17:$H$245,2,FALSE)</f>
        <v>0</v>
      </c>
      <c r="U10" s="1641">
        <f>VLOOKUP(U9,$E$17:$F$245,2,FALSE)</f>
        <v>0</v>
      </c>
      <c r="V10" s="1641">
        <f>VLOOKUP(V9,$G$17:$H$245,2,FALSE)</f>
        <v>0</v>
      </c>
      <c r="W10" s="1003">
        <f>VLOOKUP(W9,$C$17:$D$245,2,FALSE)</f>
        <v>0</v>
      </c>
      <c r="X10" s="1641">
        <f>VLOOKUP(X9,$E$17:$F$245,2,FALSE)</f>
        <v>0</v>
      </c>
      <c r="Y10" s="1641">
        <f>VLOOKUP(Y9,$G$17:$H$245,2,FALSE)</f>
        <v>0</v>
      </c>
      <c r="Z10" s="1641">
        <f>VLOOKUP(Z9,$E$17:$F$245,2,FALSE)</f>
        <v>0</v>
      </c>
      <c r="AA10" s="1641">
        <f>VLOOKUP(AA9,$G$17:$H$245,2,FALSE)</f>
        <v>0</v>
      </c>
      <c r="AB10" s="1641">
        <f>VLOOKUP(AB9,$I$17:$J$245,2,FALSE)</f>
        <v>0</v>
      </c>
      <c r="AC10" s="1641">
        <f>VLOOKUP(AC9,$I$17:$J$245,2,FALSE)</f>
        <v>0</v>
      </c>
      <c r="AD10" s="1641">
        <f>VLOOKUP(AD9,$I$17:$J$245,2,FALSE)</f>
        <v>0</v>
      </c>
      <c r="AE10" s="1641">
        <f>VLOOKUP(AE9,$I$17:$J$245,2,FALSE)</f>
        <v>0</v>
      </c>
      <c r="AF10" s="1641">
        <f>VLOOKUP(AF9,$I$17:$J$245,2,FALSE)</f>
        <v>0</v>
      </c>
      <c r="AG10" s="1003">
        <f>VLOOKUP(AG9,$C$17:$D$245,2,FALSE)</f>
        <v>0</v>
      </c>
      <c r="AH10" s="1641">
        <f>VLOOKUP(AH9,$I$17:$J$245,2,FALSE)</f>
        <v>0</v>
      </c>
      <c r="AI10" s="1641">
        <f>VLOOKUP(AI9,$I$17:$J$245,2,FALSE)</f>
        <v>0</v>
      </c>
      <c r="AJ10" s="1003">
        <f>VLOOKUP(AJ9,$C$17:$D$245,2,FALSE)</f>
        <v>0</v>
      </c>
      <c r="AK10" s="1641">
        <f>VLOOKUP(AK9,$I$17:$J$245,2,FALSE)</f>
        <v>0</v>
      </c>
      <c r="AL10" s="1641">
        <f>VLOOKUP(AL9,$I$17:$J$245,2,FALSE)</f>
        <v>0</v>
      </c>
      <c r="AM10" s="1003">
        <f>VLOOKUP(AM9,$C$17:$D$245,2,FALSE)</f>
        <v>0</v>
      </c>
      <c r="AN10" s="1641">
        <f>VLOOKUP(AN9,$I$17:$J$245,2,FALSE)</f>
        <v>0</v>
      </c>
      <c r="AO10" s="1003">
        <f>VLOOKUP(AO9,$C$17:$D$245,2,FALSE)</f>
        <v>0</v>
      </c>
      <c r="AP10" s="1641">
        <f>VLOOKUP(AP9,$I$17:$J$245,2,FALSE)</f>
        <v>0</v>
      </c>
      <c r="AQ10" s="1641">
        <f>VLOOKUP(AQ9,$I$17:$J$245,2,FALSE)</f>
        <v>0</v>
      </c>
      <c r="AR10" s="1641">
        <f>VLOOKUP(AR9,$I$17:$J$245,2,FALSE)</f>
        <v>0</v>
      </c>
      <c r="AS10" s="1641">
        <f>VLOOKUP(AS9,$A$17:$B$245,2,FALSE)</f>
        <v>0</v>
      </c>
      <c r="AT10" s="1641">
        <f>VLOOKUP(AT9,$I$17:$J$245,2,FALSE)</f>
        <v>0</v>
      </c>
      <c r="AU10" s="1641">
        <f>VLOOKUP(AU9,$I$17:$J$245,2,FALSE)</f>
        <v>0</v>
      </c>
      <c r="AV10" s="1003">
        <f>VLOOKUP(AV9,$A$17:$B$245,2,FALSE)</f>
        <v>0</v>
      </c>
      <c r="AW10" s="1641">
        <f>VLOOKUP(AW9,$I$17:$J$245,2,FALSE)</f>
        <v>0</v>
      </c>
      <c r="AX10" s="1003">
        <f>VLOOKUP(AX9,$A$17:$B$245,2,FALSE)</f>
        <v>0</v>
      </c>
      <c r="AY10" s="1003">
        <f>VLOOKUP(AY9,$C$17:$D$245,2,FALSE)</f>
        <v>0</v>
      </c>
      <c r="AZ10" s="1641">
        <f>VLOOKUP(AZ9,$E$17:$F$245,2,FALSE)</f>
        <v>0</v>
      </c>
      <c r="BA10" s="1641">
        <f>VLOOKUP(BA9,$G$17:$H$245,2,FALSE)</f>
        <v>0</v>
      </c>
      <c r="BB10" s="1641">
        <f>VLOOKUP(BB9,$E$17:$F$245,2,FALSE)</f>
        <v>0</v>
      </c>
      <c r="BC10" s="1641">
        <f>VLOOKUP(BC9,$I$17:$J$245,2,FALSE)</f>
        <v>0</v>
      </c>
      <c r="BD10" s="1003">
        <f>VLOOKUP(BD9,$A$17:$B$245,2,FALSE)</f>
        <v>0</v>
      </c>
      <c r="BE10" s="1650">
        <f t="shared" ref="BE10:BS10" si="6">VLOOKUP(BE9,$G$17:$H$245,2,FALSE)</f>
        <v>0</v>
      </c>
      <c r="BF10" s="1650">
        <f t="shared" si="6"/>
        <v>0</v>
      </c>
      <c r="BG10" s="1650">
        <f t="shared" si="6"/>
        <v>0</v>
      </c>
      <c r="BH10" s="1650">
        <f t="shared" si="6"/>
        <v>0</v>
      </c>
      <c r="BI10" s="1650">
        <f t="shared" si="6"/>
        <v>0</v>
      </c>
      <c r="BJ10" s="1650">
        <f t="shared" si="6"/>
        <v>0</v>
      </c>
      <c r="BK10" s="1650">
        <f t="shared" si="6"/>
        <v>0</v>
      </c>
      <c r="BL10" s="1650">
        <f t="shared" si="6"/>
        <v>0</v>
      </c>
      <c r="BM10" s="1650">
        <f t="shared" si="6"/>
        <v>0</v>
      </c>
      <c r="BN10" s="1650">
        <f t="shared" si="6"/>
        <v>0</v>
      </c>
      <c r="BO10" s="1650">
        <f t="shared" si="6"/>
        <v>0</v>
      </c>
      <c r="BP10" s="1650">
        <f t="shared" si="6"/>
        <v>0</v>
      </c>
      <c r="BQ10" s="1650">
        <f t="shared" si="6"/>
        <v>0</v>
      </c>
      <c r="BR10" s="1650">
        <f t="shared" si="6"/>
        <v>0</v>
      </c>
      <c r="BS10" s="1650">
        <f t="shared" si="6"/>
        <v>0</v>
      </c>
      <c r="BT10" s="1641">
        <f>VLOOKUP(BT9,$C$17:$D$245,2,FALSE)</f>
        <v>0</v>
      </c>
      <c r="BU10" s="1641">
        <f>VLOOKUP(BU9,$C$17:$D$245,2,FALSE)</f>
        <v>0</v>
      </c>
      <c r="BV10" s="1641">
        <f>VLOOKUP(BV9,$E$17:$F$245,2,FALSE)</f>
        <v>0</v>
      </c>
      <c r="BW10" s="1641">
        <f>VLOOKUP(BW9,$G$17:$H$245,2,FALSE)</f>
        <v>0</v>
      </c>
      <c r="BX10" s="1641">
        <f>VLOOKUP(BX9,$I$17:$J$245,2,FALSE)</f>
        <v>0</v>
      </c>
      <c r="BY10" s="1641">
        <f>VLOOKUP(BY9,$E$17:$F$245,2,FALSE)</f>
        <v>0</v>
      </c>
      <c r="BZ10" s="1641">
        <f>VLOOKUP(BZ9,$G$17:$H$245,2,FALSE)</f>
        <v>0</v>
      </c>
      <c r="CA10" s="1641">
        <f>VLOOKUP(CA9,$I$17:$J$245,2,FALSE)</f>
        <v>0</v>
      </c>
      <c r="CB10" s="1641">
        <f>VLOOKUP(CB9,$E$17:$F$245,2,FALSE)</f>
        <v>0</v>
      </c>
      <c r="CC10" s="1641">
        <f>VLOOKUP(CC9,$G$17:$H$245,2,FALSE)</f>
        <v>0</v>
      </c>
      <c r="CD10" s="1641">
        <f>VLOOKUP(CD9,$I$17:$J$245,2,FALSE)</f>
        <v>0</v>
      </c>
      <c r="CE10" s="1641">
        <f>VLOOKUP(CE9,$E$17:$F$245,2,FALSE)</f>
        <v>0</v>
      </c>
      <c r="CF10" s="1641">
        <f>VLOOKUP(CF9,$G$17:$H$245,2,FALSE)</f>
        <v>0</v>
      </c>
      <c r="CG10" s="1641">
        <f>VLOOKUP(CG9,$I$17:$J$245,2,FALSE)</f>
        <v>0</v>
      </c>
      <c r="CH10" s="1641">
        <f>VLOOKUP(CH9,$E$17:$F$245,2,FALSE)</f>
        <v>0</v>
      </c>
      <c r="CI10" s="1641">
        <f>VLOOKUP(CI9,$G$17:$H$245,2,FALSE)</f>
        <v>0</v>
      </c>
      <c r="CJ10" s="1641">
        <f>VLOOKUP(CJ9,$I$17:$J$245,2,FALSE)</f>
        <v>0</v>
      </c>
      <c r="CK10" s="1641">
        <f>VLOOKUP(CK9,$E$17:$F$245,2,FALSE)</f>
        <v>0</v>
      </c>
      <c r="CL10" s="1641">
        <f>VLOOKUP(CL9,$G$17:$H$245,2,FALSE)</f>
        <v>0</v>
      </c>
      <c r="CM10" s="1641">
        <f>VLOOKUP(CM9,$I$17:$J$245,2,FALSE)</f>
        <v>0</v>
      </c>
      <c r="CN10" s="1641">
        <f>VLOOKUP(CN9,$C$17:$D$245,2,FALSE)</f>
        <v>0</v>
      </c>
      <c r="CO10" s="1641">
        <f>VLOOKUP(CO9,$E$17:$F$245,2,FALSE)</f>
        <v>0</v>
      </c>
      <c r="CP10" s="1641">
        <f>VLOOKUP(CP9,$G$17:$H$245,2,FALSE)</f>
        <v>0</v>
      </c>
      <c r="CQ10" s="1641">
        <f>VLOOKUP(CQ9,$C$17:$D$245,2,FALSE)</f>
        <v>0</v>
      </c>
      <c r="CR10" s="1641">
        <f>VLOOKUP(CR9,$E$17:$F$245,2,FALSE)</f>
        <v>0</v>
      </c>
      <c r="CS10" s="1641">
        <f>VLOOKUP(CS9,$G$17:$H$245,2,FALSE)</f>
        <v>0</v>
      </c>
      <c r="CT10" s="1641">
        <f>VLOOKUP(CT9,$C$17:$D$245,2,FALSE)</f>
        <v>0</v>
      </c>
      <c r="CU10" s="1641">
        <f>VLOOKUP(CU9,$E$17:$F$245,2,FALSE)</f>
        <v>0</v>
      </c>
      <c r="CV10" s="1641">
        <f>VLOOKUP(CV9,$G$17:$H$245,2,FALSE)</f>
        <v>0</v>
      </c>
      <c r="CW10" s="1641">
        <f>VLOOKUP(CW9,$C$17:$D$245,2,FALSE)</f>
        <v>0</v>
      </c>
      <c r="CX10" s="1641">
        <f>VLOOKUP(CX9,$E$17:$F$245,2,FALSE)</f>
        <v>0</v>
      </c>
      <c r="CY10" s="1641">
        <f>VLOOKUP(CY9,$G$17:$H$245,2,FALSE)</f>
        <v>0</v>
      </c>
      <c r="CZ10" s="1641">
        <f>VLOOKUP(CZ9,$C$17:$D$245,2,FALSE)</f>
        <v>0</v>
      </c>
      <c r="DA10" s="1641">
        <f>VLOOKUP(DA9,$E$17:$F$245,2,FALSE)</f>
        <v>0</v>
      </c>
      <c r="DB10" s="1641">
        <f>VLOOKUP(DB9,$G$17:$H$245,2,FALSE)</f>
        <v>0</v>
      </c>
      <c r="DC10" s="1641">
        <f>VLOOKUP(DC9,$C$17:$D$245,2,FALSE)</f>
        <v>0</v>
      </c>
      <c r="DD10" s="1641">
        <f>VLOOKUP(DD9,$E$17:$F$245,2,FALSE)</f>
        <v>0</v>
      </c>
      <c r="DE10" s="1641">
        <f>VLOOKUP(DE9,$G$17:$H$245,2,FALSE)</f>
        <v>0</v>
      </c>
      <c r="DF10" s="1641">
        <f>VLOOKUP(DF9,$I$17:$J$245,2,FALSE)</f>
        <v>0</v>
      </c>
      <c r="DG10" s="1641">
        <f>VLOOKUP(DG9,$I$17:$J$245,2,FALSE)</f>
        <v>0</v>
      </c>
      <c r="DH10" s="1003">
        <f>VLOOKUP(DH9,$C$17:$D$245,2,FALSE)</f>
        <v>0</v>
      </c>
      <c r="DI10" s="1641">
        <f>VLOOKUP(DI9,$E$17:$F$245,2,FALSE)</f>
        <v>0</v>
      </c>
      <c r="DJ10" s="1641">
        <f>VLOOKUP(DJ9,$G$17:$H$245,2,FALSE)</f>
        <v>0</v>
      </c>
      <c r="DK10" s="1003">
        <f>VLOOKUP(DK9,$C$17:$D$245,2,FALSE)</f>
        <v>0</v>
      </c>
    </row>
    <row r="11" spans="1:201" hidden="1">
      <c r="A11" s="1212"/>
      <c r="B11" s="807"/>
      <c r="C11" s="830"/>
    </row>
    <row r="12" spans="1:201" ht="92.4" hidden="1">
      <c r="A12" s="1637" t="s">
        <v>266</v>
      </c>
      <c r="B12" s="286" t="s">
        <v>1408</v>
      </c>
      <c r="C12" s="1668" t="str">
        <f>K18</f>
        <v>NumUnits_LOSP</v>
      </c>
      <c r="D12" s="1668" t="str">
        <f>K21</f>
        <v>PctgOfUnits_LOSP</v>
      </c>
      <c r="E12" s="1668" t="str">
        <f>K23</f>
        <v>GrossTenantRents_LOSP</v>
      </c>
      <c r="F12" s="1668" t="str">
        <f>K24</f>
        <v>RentalAssistance_LOSP</v>
      </c>
      <c r="G12" s="1665" t="str">
        <f>K29</f>
        <v>Vacancy_LOSP</v>
      </c>
      <c r="H12" s="1665" t="str">
        <f>K36</f>
        <v>INCM_ParkingSpaces_LOSP</v>
      </c>
      <c r="I12" s="1665" t="str">
        <f>K37</f>
        <v>INCM_MiscRentIncome_LOSP</v>
      </c>
      <c r="J12" s="1665" t="str">
        <f>K40</f>
        <v>INCM_IntIncome_ProjOps_LOSP</v>
      </c>
      <c r="K12" s="1665" t="str">
        <f>K41</f>
        <v>INCM_LaundryVending_LOSP</v>
      </c>
      <c r="L12" s="1665" t="str">
        <f>K42</f>
        <v>INCM_TenantCharges_LOSP</v>
      </c>
      <c r="M12" s="1667" t="str">
        <f>K43</f>
        <v>INCM_MiscOtherIncome_LOSP</v>
      </c>
      <c r="N12" s="1667" t="str">
        <f>K46</f>
        <v>INCM_TotalIncome_TOTAL_LOSP</v>
      </c>
      <c r="O12" s="1667" t="str">
        <f>K52</f>
        <v>EXP_MgtFee_LOSP</v>
      </c>
      <c r="P12" s="1667" t="str">
        <f>K53</f>
        <v>EXP_AssetMgtFee_LOSP</v>
      </c>
      <c r="Q12" s="1669" t="str">
        <f>K56</f>
        <v>EXP_OfficeSalaries_LOSP</v>
      </c>
      <c r="R12" s="1669" t="str">
        <f>K57</f>
        <v>EXP_MgrSalary_LOSP</v>
      </c>
      <c r="S12" s="1669" t="str">
        <f>K58</f>
        <v>EXP_HelthInsOtherBenefits_LOSP</v>
      </c>
      <c r="T12" s="1669" t="str">
        <f>K59</f>
        <v>EXP_OthersalaryBenefits_LOSP</v>
      </c>
      <c r="U12" s="1669" t="str">
        <f>K60</f>
        <v>EXP_AdminRentFreeUnit_LOSP</v>
      </c>
      <c r="V12" s="1669" t="str">
        <f>K63</f>
        <v>EXP_AdvertMarketing_LOSP</v>
      </c>
      <c r="W12" s="1669" t="str">
        <f>K64</f>
        <v>EXP_OfficeExp_LOSP</v>
      </c>
      <c r="X12" s="1669" t="str">
        <f>K65</f>
        <v>EXP_OfficeRent_LOSP</v>
      </c>
      <c r="Y12" s="1669" t="str">
        <f>K66</f>
        <v>EXP_LegalExp-PPT_LOSP</v>
      </c>
      <c r="Z12" s="1669" t="str">
        <f>K67</f>
        <v>EXP_Audit_LOSP</v>
      </c>
      <c r="AA12" s="1669" t="str">
        <f>K68</f>
        <v>EXP_BookkeepingAccntngSvcs_LOSP</v>
      </c>
      <c r="AB12" s="1669" t="str">
        <f>K69</f>
        <v>EXP_BadDebts_LOSP</v>
      </c>
      <c r="AC12" s="1669" t="str">
        <f>K70</f>
        <v>EXP_MiscAdminExp_LOSP</v>
      </c>
      <c r="AD12" s="1669" t="str">
        <f>K73</f>
        <v>EXP_Electricity_LOSP</v>
      </c>
      <c r="AE12" s="1669" t="str">
        <f>K74</f>
        <v>EXP_Water_LOSP</v>
      </c>
      <c r="AF12" s="1669" t="str">
        <f>K75</f>
        <v>EXP_Gas_LOSP</v>
      </c>
      <c r="AG12" s="1669" t="str">
        <f>K76</f>
        <v>EXP_Sewer_LOSP</v>
      </c>
      <c r="AH12" s="1669" t="str">
        <f>K79</f>
        <v>EXP_RealEstateTaxes_LOSP</v>
      </c>
      <c r="AI12" s="1669" t="str">
        <f>K80</f>
        <v>EXP_PayrollTaxes_LOSP</v>
      </c>
      <c r="AJ12" s="1669" t="str">
        <f>K81</f>
        <v>EXP_MiscTaxesLicensesPermits_LOSP</v>
      </c>
      <c r="AK12" s="1669" t="str">
        <f>K84</f>
        <v>EXP_PropertyAndLiabInsur_LOSP</v>
      </c>
      <c r="AL12" s="1669" t="str">
        <f>K85</f>
        <v>EXP_FidelityBondInsur_LOSP</v>
      </c>
      <c r="AM12" s="1669" t="str">
        <f>K86</f>
        <v>EXP_WorkersComp_LOSP</v>
      </c>
      <c r="AN12" s="1669" t="str">
        <f>K87</f>
        <v>EXP_DirectorOfficerLiabInsur_LOSP</v>
      </c>
      <c r="AO12" s="1669" t="str">
        <f>K91</f>
        <v>EXP_MaintRepairPayroll_LOSP</v>
      </c>
      <c r="AP12" s="1669" t="str">
        <f>K92</f>
        <v>EXP_Supplies_LOSP</v>
      </c>
      <c r="AQ12" s="1669" t="str">
        <f>K93</f>
        <v>EXP_Contracts_LOSP</v>
      </c>
      <c r="AR12" s="1669" t="str">
        <f>K94</f>
        <v>EXP_GarbageTrashRemoval_LOSP</v>
      </c>
      <c r="AS12" s="1669" t="str">
        <f>K95</f>
        <v>EXP_SecurityPayrollAndOrContract_LOSP</v>
      </c>
      <c r="AT12" s="1669" t="str">
        <f>K96</f>
        <v>EXP_HVACRepairsMaint_LOSP</v>
      </c>
      <c r="AU12" s="1669" t="str">
        <f>K97</f>
        <v>EXP_VehicleAndMaintEquipmtOpsAndRepairs_LOSP</v>
      </c>
      <c r="AV12" s="1669" t="str">
        <f>K98</f>
        <v>EXP_MiscOpsMaintExpenses_LOSP</v>
      </c>
      <c r="AW12" s="1669" t="str">
        <f>K100</f>
        <v>EXP_SuppSvcs_LOSP</v>
      </c>
      <c r="AX12" s="1669" t="str">
        <f>K101</f>
        <v>EXP_TOT_OP_EXPENSES_LOSP</v>
      </c>
      <c r="AY12" s="1669" t="str">
        <f>K102</f>
        <v>RR_Elgbl_Cap_LOSP</v>
      </c>
      <c r="AZ12" s="1669" t="str">
        <f>K103</f>
        <v>RR_Elgbl_non-cap_TOT_LOSP</v>
      </c>
      <c r="BA12" s="1669" t="str">
        <f>K104</f>
        <v>TotOpExp-New_LOSP</v>
      </c>
      <c r="BB12" s="1669" t="str">
        <f>K107</f>
        <v>GroundLessorBaseRent_LOSP</v>
      </c>
      <c r="BC12" s="1671" t="str">
        <f>K108</f>
        <v>CF_BondMonFee_Res_Commrcl_LOSP</v>
      </c>
      <c r="BD12" s="1669" t="str">
        <f>K109</f>
        <v>CF_ReplcmtRsrvDeposits_LOSP</v>
      </c>
      <c r="BE12" s="1669" t="str">
        <f>K110</f>
        <v>CF_OpRsrvDeposits_LOSP</v>
      </c>
      <c r="BF12" s="1669" t="str">
        <f>K111</f>
        <v>CF_OpRsrvWdrawals_LOSP</v>
      </c>
      <c r="BG12" s="1669" t="str">
        <f>K112</f>
        <v>CF_OtherRqdRsrvDeposits_LOSP</v>
      </c>
      <c r="BH12" s="1669" t="str">
        <f>K113</f>
        <v>CF_OtherRqdRsrvWdrawals_LOSP</v>
      </c>
      <c r="BI12" s="1669" t="str">
        <f>K120</f>
        <v>NOI-2_LOSP</v>
      </c>
      <c r="BJ12" s="1669" t="str">
        <f>K123</f>
        <v>CF_PrincplPaidLender1_LOSP</v>
      </c>
      <c r="BK12" s="1669" t="str">
        <f>K124</f>
        <v>CF_IntPaidLender1_LOSP</v>
      </c>
      <c r="BL12" s="1669" t="str">
        <f>K125</f>
        <v>Lender1Other_LOSP</v>
      </c>
      <c r="BM12" s="1669" t="str">
        <f>K126</f>
        <v>CF_PrincplPaidLender2_LOSP</v>
      </c>
      <c r="BN12" s="1669" t="str">
        <f>K127</f>
        <v>CF_IntPaidLender2_LOSP</v>
      </c>
      <c r="BO12" s="1669" t="str">
        <f>K128</f>
        <v>Lender2Other_LOSP</v>
      </c>
      <c r="BP12" s="1669" t="str">
        <f>K129</f>
        <v>CF_PrincplPaidLender3_LOSP</v>
      </c>
      <c r="BQ12" s="1669" t="str">
        <f>K130</f>
        <v>CF_IntPaidLender3_LOSP</v>
      </c>
      <c r="BR12" s="1671" t="str">
        <f>K131</f>
        <v>Lender3Other_LOSP</v>
      </c>
      <c r="BS12" s="1669" t="str">
        <f>K132</f>
        <v>Lender4Prncpl_LOSP</v>
      </c>
      <c r="BT12" s="1669" t="str">
        <f>K133</f>
        <v>Lender4Int_LOSP</v>
      </c>
      <c r="BU12" s="1669" t="str">
        <f>K134</f>
        <v>Lender4Other_LOSP</v>
      </c>
      <c r="BV12" s="1669" t="str">
        <f>K135</f>
        <v>CF_TotalDebtServicePmts_LOSP</v>
      </c>
      <c r="BW12" s="1669" t="str">
        <f>K137</f>
        <v>SurplusCash_LOSP</v>
      </c>
      <c r="BX12" s="1671" t="str">
        <f>K139</f>
        <v>NonRes_Surplus_LOSP</v>
      </c>
      <c r="BY12" s="1669" t="str">
        <f>K146</f>
        <v>CF_PshipMgtFee_LOSP</v>
      </c>
      <c r="BZ12" s="1669" t="str">
        <f>K148</f>
        <v>LPAMFee_Res_LOSP</v>
      </c>
      <c r="CA12" s="1669" t="str">
        <f>K150</f>
        <v>CF_DfrrdDevFee_LOSP</v>
      </c>
      <c r="CB12" s="1669" t="str">
        <f>K151</f>
        <v>CF_OtherPmts_Res_LOSP</v>
      </c>
      <c r="CC12" s="1669" t="str">
        <f>K152</f>
        <v>WF_Lender1Prncpl_Res_LOSP</v>
      </c>
      <c r="CD12" s="1669" t="str">
        <f>K153</f>
        <v>WF_Lender1Int_Res_LOSP</v>
      </c>
      <c r="CE12" s="1669" t="str">
        <f>K154</f>
        <v>WF_Lender2Prncpl_Res_LOSP</v>
      </c>
      <c r="CF12" s="1669" t="str">
        <f>K155</f>
        <v>WF_Lender2Int_Res_LOSP</v>
      </c>
      <c r="CG12" s="1669" t="str">
        <f>K158</f>
        <v>RR_ResRcts_TOTAL_LOSP</v>
      </c>
      <c r="CH12" s="1669" t="str">
        <f>K160</f>
        <v>RR_ProposedResRctsPmt_LOSP</v>
      </c>
      <c r="CI12" s="1669" t="str">
        <f>K161</f>
        <v>CF_GroundLeasePmt_LOSP</v>
      </c>
      <c r="CJ12" s="1669" t="str">
        <f>K162</f>
        <v>RRProposedRezRcts-TOTAL_LOSP</v>
      </c>
      <c r="CK12" s="1669" t="str">
        <f>K163</f>
        <v>WF_Lender3Prncpl_Res_LOSP</v>
      </c>
      <c r="CL12" s="1669" t="str">
        <f>K164</f>
        <v>WF_Lender4Prncpl_Res_LOSP</v>
      </c>
      <c r="CM12" s="1669" t="str">
        <f>K165</f>
        <v>RezRctsLender5Amt_LOSP</v>
      </c>
      <c r="CN12" s="1669" t="str">
        <f>K172</f>
        <v>RR_LOSPsurplus_LOSP</v>
      </c>
      <c r="CO12" s="1669" t="str">
        <f>K174</f>
        <v>FinalBal_LOSP</v>
      </c>
      <c r="CP12" s="1674" t="str">
        <f>M18</f>
        <v>NumUnits_nonLOSP</v>
      </c>
      <c r="CQ12" s="1674" t="str">
        <f>M21</f>
        <v>PctgOfUnits_nonLOSP</v>
      </c>
      <c r="CR12" s="1674" t="str">
        <f>M23</f>
        <v>GrossTenantRents_nonLOSP</v>
      </c>
      <c r="CS12" s="1674" t="str">
        <f>M24</f>
        <v>RentalAssistance_nonLOSP</v>
      </c>
      <c r="CT12" s="1674" t="str">
        <f>M29</f>
        <v>Vacancy_nonLOSP</v>
      </c>
      <c r="CU12" s="1673" t="str">
        <f>M36</f>
        <v>INCM_ParkingSpaces_nonLOSP</v>
      </c>
      <c r="CV12" s="1673" t="str">
        <f>M37</f>
        <v>INCM_MiscRentIncome_nonLOSP</v>
      </c>
      <c r="CW12" s="1673" t="str">
        <f>M40</f>
        <v>INCM_IntIncome_ProjOps_nonLOSP</v>
      </c>
      <c r="CX12" s="1677" t="str">
        <f>M41</f>
        <v>INCM_LaundryVending_nonLOSP</v>
      </c>
      <c r="CY12" s="1678" t="str">
        <f>M42</f>
        <v>INCM_TenantCharges_nonLOSP</v>
      </c>
      <c r="CZ12" s="1678" t="str">
        <f>M43</f>
        <v>INCM_MiscOtherIncome_nonLOSP</v>
      </c>
      <c r="DA12" s="1678" t="str">
        <f>M46</f>
        <v>INCM_TotalIncome_TOTAL_nonLOSP</v>
      </c>
      <c r="DB12" s="1678" t="str">
        <f>M52</f>
        <v>EXP_MgtFee_nonLOSP</v>
      </c>
      <c r="DC12" s="1678" t="str">
        <f>M53</f>
        <v>EXP_AssetMgtFee_nonLOSP</v>
      </c>
      <c r="DD12" s="1678" t="str">
        <f>M56</f>
        <v>EXP_OfficeSalaries_nonLOSP</v>
      </c>
      <c r="DE12" s="1678" t="str">
        <f>M57</f>
        <v>EXP_MgrSalary_nonLOSP</v>
      </c>
      <c r="DF12" s="1678" t="str">
        <f>M58</f>
        <v>EXP_HelthInsOtherBenefits_nonLOSP</v>
      </c>
      <c r="DG12" s="1678" t="str">
        <f>M59</f>
        <v>EXP_OthersalaryBenefits_nonLOSP</v>
      </c>
      <c r="DH12" s="1678" t="str">
        <f>M60</f>
        <v>EXP_AdminRentFreeUnit_nonLOSP</v>
      </c>
      <c r="DI12" s="1678" t="str">
        <f>M63</f>
        <v>EXP_AdvertMarketing_nonLOSP</v>
      </c>
      <c r="DJ12" s="1678" t="str">
        <f>M64</f>
        <v>EXP_OfficeExp_nonLOSP</v>
      </c>
      <c r="DK12" s="1678" t="str">
        <f>M65</f>
        <v>EXP_OfficeRent_nonLOSP</v>
      </c>
      <c r="DL12" s="1678" t="str">
        <f t="shared" ref="DL12" si="7">M66</f>
        <v>EXP_LegalExp-PPT_nonLOSP</v>
      </c>
      <c r="DM12" s="1678" t="str">
        <f>M67</f>
        <v>EXP_Audit_nonLOSP</v>
      </c>
      <c r="DN12" s="1673" t="str">
        <f>M68</f>
        <v>EXP_BookkeepingAccntngSvcs_nonLOSP</v>
      </c>
      <c r="DO12" s="1673" t="str">
        <f>M69</f>
        <v>EXP_BadDebts_nonLOSP</v>
      </c>
      <c r="DP12" s="1673" t="str">
        <f>M70</f>
        <v>EXP_MiscAdminExp_nonLOSP</v>
      </c>
      <c r="DQ12" s="1678" t="str">
        <f>M73</f>
        <v>EXP_Electricity_nonLOSP</v>
      </c>
      <c r="DR12" s="1678" t="str">
        <f>M74</f>
        <v>EXP_Water_nonLOSP</v>
      </c>
      <c r="DS12" s="1678" t="str">
        <f>M75</f>
        <v>EXP_Gas_nonLOSP</v>
      </c>
      <c r="DT12" s="1678" t="str">
        <f>M76</f>
        <v>EXP_Sewer_nonLOSP</v>
      </c>
      <c r="DU12" s="1678" t="str">
        <f>M79</f>
        <v>EXP_RealEstateTaxes_nonLOSP</v>
      </c>
      <c r="DV12" s="1678" t="str">
        <f>M80</f>
        <v>EXP_PayrollTaxes_nonLOSP</v>
      </c>
      <c r="DW12" s="1678" t="str">
        <f>M81</f>
        <v>EXP_MiscTaxesLicensesPermits_nonLOSP</v>
      </c>
      <c r="DX12" s="1678" t="str">
        <f>M84</f>
        <v>EXP_PropertyAndLiabInsur_nonLOSP</v>
      </c>
      <c r="DY12" s="1678" t="str">
        <f>M85</f>
        <v>EXP_FidelityBondInsur_nonLOSP</v>
      </c>
      <c r="DZ12" s="1678" t="str">
        <f>M86</f>
        <v>EXP_WorkersComp_nonLOSP</v>
      </c>
      <c r="EA12" s="1678" t="str">
        <f>M87</f>
        <v>EXP_DirectorOfficerLiabInsur_nonLOSP</v>
      </c>
      <c r="EB12" s="1678" t="str">
        <f>M91</f>
        <v>EXP_MaintRepairPayroll_nonLOSP</v>
      </c>
      <c r="EC12" s="1678" t="str">
        <f>M92</f>
        <v>EXP_Supplies_nonLOSP</v>
      </c>
      <c r="ED12" s="1678" t="str">
        <f>M93</f>
        <v>EXP_Contracts_nonLOSP</v>
      </c>
      <c r="EE12" s="1678" t="str">
        <f>M94</f>
        <v>EXP_GarbageTrashRemoval_nonLOSP</v>
      </c>
      <c r="EF12" s="1678" t="str">
        <f>M95</f>
        <v>EXP_SecurityPayrollAndOrContract_nonLOSP</v>
      </c>
      <c r="EG12" s="1678" t="str">
        <f>M96</f>
        <v>EXP_HVACRepairsMaint_nonLOSP</v>
      </c>
      <c r="EH12" s="1678" t="str">
        <f>M97</f>
        <v>EXP_VehicleAndMaintEquipmtOpsAndRepairs_nonLOSP</v>
      </c>
      <c r="EI12" s="1678" t="str">
        <f>M98</f>
        <v>EXP_MiscOpsMaintExpenses_nonLOSP</v>
      </c>
      <c r="EJ12" s="1678" t="str">
        <f>M100</f>
        <v>EXP_SuppSvcs_nonLOSP</v>
      </c>
      <c r="EK12" s="1678" t="str">
        <f>M101</f>
        <v>EXP_TOT_OP_EXPENSES_nonLOSP</v>
      </c>
      <c r="EL12" s="1678" t="str">
        <f>M102</f>
        <v>RR_Elgbl_Cap_nonLOSP</v>
      </c>
      <c r="EM12" s="1678" t="str">
        <f>M103</f>
        <v>RR_Elgbl_non-cap_TOT_nonLOSP</v>
      </c>
      <c r="EN12" s="1678" t="str">
        <f>M104</f>
        <v>TotOpExp-New_nonLOSP</v>
      </c>
      <c r="EO12" s="1678" t="str">
        <f>M107</f>
        <v>GroundLessorBaseRent_nonLOSP</v>
      </c>
      <c r="EP12" s="1678" t="str">
        <f>M108</f>
        <v>CF_BondMonFee_Res_Commrcl_nonLOSP</v>
      </c>
      <c r="EQ12" s="1678" t="str">
        <f>M109</f>
        <v>CF_ReplcmtRsrvDeposits_nonLOSP</v>
      </c>
      <c r="ER12" s="1678" t="str">
        <f>M110</f>
        <v>CF_OpRsrvDeposits_nonLOSP</v>
      </c>
      <c r="ES12" s="1678" t="str">
        <f>M111</f>
        <v>CF_OpRsrvWdrawals_nonLOSP</v>
      </c>
      <c r="ET12" s="1678" t="str">
        <f>M112</f>
        <v>CF_OtherRqdRsrvDeposits_nonLOSP</v>
      </c>
      <c r="EU12" s="1678" t="str">
        <f>M113</f>
        <v>CF_OtherRqdRsrvWdrawals_nonLOSP</v>
      </c>
      <c r="EV12" s="1678" t="str">
        <f>M120</f>
        <v>NOI-2_nonLOSP</v>
      </c>
      <c r="EW12" s="1678" t="str">
        <f>M123</f>
        <v>CF_PrincplPaidLender1_nonLOSP</v>
      </c>
      <c r="EX12" s="1678" t="str">
        <f>M124</f>
        <v>CF_IntPaidLender1_nonLOSP</v>
      </c>
      <c r="EY12" s="1678" t="str">
        <f>M125</f>
        <v>Lender1Other_nonLOSP</v>
      </c>
      <c r="EZ12" s="1678" t="str">
        <f>M126</f>
        <v>CF_PrincplPaidLender2_nonLOSP</v>
      </c>
      <c r="FA12" s="1678" t="str">
        <f>M127</f>
        <v>CF_IntPaidLender2_nonLOSP</v>
      </c>
      <c r="FB12" s="1678" t="str">
        <f>M128</f>
        <v>Lender2Other_nonLOSP</v>
      </c>
      <c r="FC12" s="1678" t="str">
        <f>M129</f>
        <v>CF_PrincplPaidLender3_nonLOSP</v>
      </c>
      <c r="FD12" s="1678" t="str">
        <f>M130</f>
        <v>CF_IntPaidLender3_nonLOSP</v>
      </c>
      <c r="FE12" s="1678" t="str">
        <f>M131</f>
        <v>Lender3Other_nonLOSP</v>
      </c>
      <c r="FF12" s="1678" t="str">
        <f>M132</f>
        <v>Lender4Prncpl_nonLOSP</v>
      </c>
      <c r="FG12" s="1678" t="str">
        <f>M133</f>
        <v>Lender4Int_nonLOSP</v>
      </c>
      <c r="FH12" s="1678" t="str">
        <f>M134</f>
        <v>Lender4Other_nonLOSP</v>
      </c>
      <c r="FI12" s="1678" t="str">
        <f>M135</f>
        <v>CF_TotalDebtServicePmts_nonLOSP</v>
      </c>
      <c r="FJ12" s="1678" t="str">
        <f>M137</f>
        <v>SurplusCash_nonLOSP</v>
      </c>
      <c r="FK12" s="1678" t="str">
        <f>M139</f>
        <v>NonRes_Surplus_nonLOSP</v>
      </c>
      <c r="FL12" s="1678" t="str">
        <f>M144</f>
        <v>OpRsrvReplnsh_Res_nonLOSP</v>
      </c>
      <c r="FM12" s="1678" t="str">
        <f>M145</f>
        <v>CF_AssetMgtFeeExcess3k_nonLOSP</v>
      </c>
      <c r="FN12" s="1678" t="str">
        <f>M146</f>
        <v>CF_PshipMgtFee_nonLOSP</v>
      </c>
      <c r="FO12" s="1678" t="str">
        <f>M147</f>
        <v>PshipMgtFeeAccru_Res_nonLOSP</v>
      </c>
      <c r="FP12" s="1678" t="str">
        <f>M148</f>
        <v>LPAMFee_Res_nonLOSP</v>
      </c>
      <c r="FQ12" s="1678" t="str">
        <f>M149</f>
        <v>LPAMFeeAccru_Res_nonLOSP</v>
      </c>
      <c r="FR12" s="1678" t="str">
        <f>M150</f>
        <v>CF_DfrrdDevFee_nonLOSP</v>
      </c>
      <c r="FS12" s="1678" t="str">
        <f>M151</f>
        <v>CF_OtherPmts_Res_nonLOSP</v>
      </c>
      <c r="FT12" s="1678" t="str">
        <f>M152</f>
        <v>WF_Lender1Prncpl_Res_nonLOSP</v>
      </c>
      <c r="FU12" s="1678" t="str">
        <f>M153</f>
        <v>WF_Lender1Int_Res_nonLOSP</v>
      </c>
      <c r="FV12" s="1678" t="str">
        <f>M154</f>
        <v>WF_Lender2Prncpl_Res_nonLOSP</v>
      </c>
      <c r="FW12" s="1678" t="str">
        <f>M155</f>
        <v>WF_Lender2Int_Res_nonLOSP</v>
      </c>
      <c r="FX12" s="1678" t="str">
        <f>M158</f>
        <v>RR_ResRcts_TOTAL_nonLOSP</v>
      </c>
      <c r="FY12" s="1678" t="str">
        <f>M160</f>
        <v>RR_ProposedResRctsPmt_nonLOSP</v>
      </c>
      <c r="FZ12" s="1678" t="str">
        <f>M161</f>
        <v>CF_GroundLeasePmt_nonLOSP</v>
      </c>
      <c r="GA12" s="1678" t="str">
        <f>M162</f>
        <v>RRProposedRezRcts-TOTAL_nonLOSP</v>
      </c>
      <c r="GB12" s="1678" t="str">
        <f>M163</f>
        <v>WF_Lender3Prncpl_Res_nonLOSP</v>
      </c>
      <c r="GC12" s="1678" t="str">
        <f>M164</f>
        <v>WF_Lender4Prncpl_Res_nonLOSP</v>
      </c>
      <c r="GD12" s="1678" t="str">
        <f>M165</f>
        <v>RezRctsLender5Amt_nonLOSP</v>
      </c>
      <c r="GE12" s="1678" t="str">
        <f>M171</f>
        <v>RR_ProposedOwnerDistrib_nonLOSP</v>
      </c>
      <c r="GF12" s="1678" t="str">
        <f>M174</f>
        <v>FinalBal_nonLOSP</v>
      </c>
      <c r="GG12" s="1685" t="str">
        <f>O17</f>
        <v>NetLOSPRevenueForRptPeriod</v>
      </c>
      <c r="GH12" s="1686" t="str">
        <f>O27</f>
        <v>RentAssistPmt_LOSP</v>
      </c>
      <c r="GI12" s="1681" t="str">
        <f>Q20</f>
        <v>RentAssistPmt_Other_LOSP</v>
      </c>
      <c r="GJ12" s="1682" t="str">
        <f>Q21</f>
        <v>RentAssistPmtOther_Source_LOSP</v>
      </c>
      <c r="GK12" s="1683" t="str">
        <f>Q27</f>
        <v>RentAssistPmt_nonLOSP</v>
      </c>
      <c r="GL12" s="554"/>
      <c r="GM12" s="554"/>
      <c r="GN12" s="554"/>
      <c r="GO12" s="554"/>
      <c r="GP12" s="554"/>
      <c r="GQ12" s="554"/>
      <c r="GR12" s="554"/>
      <c r="GS12" s="554"/>
    </row>
    <row r="13" spans="1:201" s="19" customFormat="1" ht="14.4" hidden="1">
      <c r="A13" s="1654" t="e">
        <f>' 1A.Prop&amp;Residents'!$A$7</f>
        <v>#N/A</v>
      </c>
      <c r="B13" s="1003" t="str">
        <f>' 1A.Prop&amp;Residents'!$B$7</f>
        <v/>
      </c>
      <c r="C13" s="1647">
        <f>VLOOKUP(C12,$K$17:$L$245,2,FALSE)</f>
        <v>0</v>
      </c>
      <c r="D13" s="1666">
        <f>VLOOKUP(D12,$K$17:$L$245,2,FALSE)</f>
        <v>0</v>
      </c>
      <c r="E13" s="1641">
        <f t="shared" ref="E13:G13" si="8">VLOOKUP(E12,$K$17:$L$245,2,FALSE)</f>
        <v>0</v>
      </c>
      <c r="F13" s="1641">
        <f t="shared" si="8"/>
        <v>0</v>
      </c>
      <c r="G13" s="1641">
        <f t="shared" si="8"/>
        <v>0</v>
      </c>
      <c r="H13" s="1649">
        <f t="shared" ref="H13" si="9">VLOOKUP(H12,$K$17:$L$245,2,FALSE)</f>
        <v>0</v>
      </c>
      <c r="I13" s="1649">
        <f t="shared" ref="I13" si="10">VLOOKUP(I12,$K$17:$L$245,2,FALSE)</f>
        <v>0</v>
      </c>
      <c r="J13" s="1649">
        <f t="shared" ref="J13" si="11">VLOOKUP(J12,$K$17:$L$245,2,FALSE)</f>
        <v>0</v>
      </c>
      <c r="K13" s="1648">
        <f t="shared" ref="K13" si="12">VLOOKUP(K12,$K$17:$L$245,2,FALSE)</f>
        <v>0</v>
      </c>
      <c r="L13" s="1649">
        <f t="shared" ref="L13" si="13">VLOOKUP(L12,$K$17:$L$245,2,FALSE)</f>
        <v>0</v>
      </c>
      <c r="M13" s="1641">
        <f t="shared" ref="M13" si="14">VLOOKUP(M12,$K$17:$L$245,2,FALSE)</f>
        <v>0</v>
      </c>
      <c r="N13" s="1641">
        <f t="shared" ref="N13" si="15">VLOOKUP(N12,$K$17:$L$245,2,FALSE)</f>
        <v>0</v>
      </c>
      <c r="O13" s="1641">
        <f t="shared" ref="O13" si="16">VLOOKUP(O12,$K$17:$L$245,2,FALSE)</f>
        <v>0</v>
      </c>
      <c r="P13" s="1651">
        <f t="shared" ref="P13" si="17">VLOOKUP(P12,$K$17:$L$245,2,FALSE)</f>
        <v>0</v>
      </c>
      <c r="Q13" s="1651">
        <f t="shared" ref="Q13" si="18">VLOOKUP(Q12,$K$17:$L$245,2,FALSE)</f>
        <v>0</v>
      </c>
      <c r="R13" s="1651">
        <f t="shared" ref="R13" si="19">VLOOKUP(R12,$K$17:$L$245,2,FALSE)</f>
        <v>0</v>
      </c>
      <c r="S13" s="1651">
        <f t="shared" ref="S13" si="20">VLOOKUP(S12,$K$17:$L$245,2,FALSE)</f>
        <v>0</v>
      </c>
      <c r="T13" s="1651">
        <f t="shared" ref="T13" si="21">VLOOKUP(T12,$K$17:$L$245,2,FALSE)</f>
        <v>0</v>
      </c>
      <c r="U13" s="1648">
        <f t="shared" ref="U13" si="22">VLOOKUP(U12,$K$17:$L$245,2,FALSE)</f>
        <v>0</v>
      </c>
      <c r="V13" s="1651">
        <f t="shared" ref="V13" si="23">VLOOKUP(V12,$K$17:$L$245,2,FALSE)</f>
        <v>0</v>
      </c>
      <c r="W13" s="1649">
        <f t="shared" ref="W13" si="24">VLOOKUP(W12,$K$17:$L$245,2,FALSE)</f>
        <v>0</v>
      </c>
      <c r="X13" s="1649">
        <f t="shared" ref="X13" si="25">VLOOKUP(X12,$K$17:$L$245,2,FALSE)</f>
        <v>0</v>
      </c>
      <c r="Y13" s="1649">
        <f t="shared" ref="Y13" si="26">VLOOKUP(Y12,$K$17:$L$245,2,FALSE)</f>
        <v>0</v>
      </c>
      <c r="Z13" s="1649">
        <f t="shared" ref="Z13" si="27">VLOOKUP(Z12,$K$17:$L$245,2,FALSE)</f>
        <v>0</v>
      </c>
      <c r="AA13" s="1649">
        <f t="shared" ref="AA13" si="28">VLOOKUP(AA12,$K$17:$L$245,2,FALSE)</f>
        <v>0</v>
      </c>
      <c r="AB13" s="1649">
        <f t="shared" ref="AB13" si="29">VLOOKUP(AB12,$K$17:$L$245,2,FALSE)</f>
        <v>0</v>
      </c>
      <c r="AC13" s="1649">
        <f t="shared" ref="AC13" si="30">VLOOKUP(AC12,$K$17:$L$245,2,FALSE)</f>
        <v>0</v>
      </c>
      <c r="AD13" s="1651">
        <f t="shared" ref="AD13" si="31">VLOOKUP(AD12,$K$17:$L$245,2,FALSE)</f>
        <v>0</v>
      </c>
      <c r="AE13" s="1651">
        <f t="shared" ref="AE13" si="32">VLOOKUP(AE12,$K$17:$L$245,2,FALSE)</f>
        <v>0</v>
      </c>
      <c r="AF13" s="1651">
        <f t="shared" ref="AF13" si="33">VLOOKUP(AF12,$K$17:$L$245,2,FALSE)</f>
        <v>0</v>
      </c>
      <c r="AG13" s="1648">
        <f t="shared" ref="AG13" si="34">VLOOKUP(AG12,$K$17:$L$245,2,FALSE)</f>
        <v>0</v>
      </c>
      <c r="AH13" s="1651">
        <f t="shared" ref="AH13" si="35">VLOOKUP(AH12,$K$17:$L$245,2,FALSE)</f>
        <v>0</v>
      </c>
      <c r="AI13" s="1651">
        <f t="shared" ref="AI13" si="36">VLOOKUP(AI12,$K$17:$L$245,2,FALSE)</f>
        <v>0</v>
      </c>
      <c r="AJ13" s="1648">
        <f t="shared" ref="AJ13" si="37">VLOOKUP(AJ12,$K$17:$L$245,2,FALSE)</f>
        <v>0</v>
      </c>
      <c r="AK13" s="1651">
        <f t="shared" ref="AK13" si="38">VLOOKUP(AK12,$K$17:$L$245,2,FALSE)</f>
        <v>0</v>
      </c>
      <c r="AL13" s="1648">
        <f t="shared" ref="AL13" si="39">VLOOKUP(AL12,$K$17:$L$245,2,FALSE)</f>
        <v>0</v>
      </c>
      <c r="AM13" s="1651">
        <f t="shared" ref="AM13" si="40">VLOOKUP(AM12,$K$17:$L$245,2,FALSE)</f>
        <v>0</v>
      </c>
      <c r="AN13" s="1651">
        <f t="shared" ref="AN13" si="41">VLOOKUP(AN12,$K$17:$L$245,2,FALSE)</f>
        <v>0</v>
      </c>
      <c r="AO13" s="1651">
        <f t="shared" ref="AO13" si="42">VLOOKUP(AO12,$K$17:$L$245,2,FALSE)</f>
        <v>0</v>
      </c>
      <c r="AP13" s="1651">
        <f t="shared" ref="AP13" si="43">VLOOKUP(AP12,$K$17:$L$245,2,FALSE)</f>
        <v>0</v>
      </c>
      <c r="AQ13" s="1649">
        <f t="shared" ref="AQ13" si="44">VLOOKUP(AQ12,$K$17:$L$245,2,FALSE)</f>
        <v>0</v>
      </c>
      <c r="AR13" s="1651">
        <f t="shared" ref="AR13" si="45">VLOOKUP(AR12,$K$17:$L$245,2,FALSE)</f>
        <v>0</v>
      </c>
      <c r="AS13" s="1651">
        <f t="shared" ref="AS13" si="46">VLOOKUP(AS12,$K$17:$L$245,2,FALSE)</f>
        <v>0</v>
      </c>
      <c r="AT13" s="1651">
        <f t="shared" ref="AT13" si="47">VLOOKUP(AT12,$K$17:$L$245,2,FALSE)</f>
        <v>0</v>
      </c>
      <c r="AU13" s="1649">
        <f t="shared" ref="AU13" si="48">VLOOKUP(AU12,$K$17:$L$245,2,FALSE)</f>
        <v>0</v>
      </c>
      <c r="AV13" s="1651">
        <f t="shared" ref="AV13" si="49">VLOOKUP(AV12,$K$17:$L$245,2,FALSE)</f>
        <v>0</v>
      </c>
      <c r="AW13" s="1651">
        <f t="shared" ref="AW13" si="50">VLOOKUP(AW12,$K$17:$L$245,2,FALSE)</f>
        <v>0</v>
      </c>
      <c r="AX13" s="1648">
        <f t="shared" ref="AX13" si="51">VLOOKUP(AX12,$K$17:$L$245,2,FALSE)</f>
        <v>0</v>
      </c>
      <c r="AY13" s="1649">
        <f t="shared" ref="AY13" si="52">VLOOKUP(AY12,$K$17:$L$245,2,FALSE)</f>
        <v>0</v>
      </c>
      <c r="AZ13" s="1651">
        <f t="shared" ref="AZ13" si="53">VLOOKUP(AZ12,$K$17:$L$245,2,FALSE)</f>
        <v>0</v>
      </c>
      <c r="BA13" s="1649">
        <f t="shared" ref="BA13" si="54">VLOOKUP(BA12,$K$17:$L$245,2,FALSE)</f>
        <v>0</v>
      </c>
      <c r="BB13" s="1651">
        <f t="shared" ref="BB13" si="55">VLOOKUP(BB12,$K$17:$L$245,2,FALSE)</f>
        <v>0</v>
      </c>
      <c r="BC13" s="1651">
        <f t="shared" ref="BC13" si="56">VLOOKUP(BC12,$K$17:$L$245,2,FALSE)</f>
        <v>0</v>
      </c>
      <c r="BD13" s="1651">
        <f t="shared" ref="BD13" si="57">VLOOKUP(BD12,$K$17:$L$245,2,FALSE)</f>
        <v>0</v>
      </c>
      <c r="BE13" s="1649">
        <f t="shared" ref="BE13" si="58">VLOOKUP(BE12,$K$17:$L$245,2,FALSE)</f>
        <v>0</v>
      </c>
      <c r="BF13" s="1651">
        <f t="shared" ref="BF13" si="59">VLOOKUP(BF12,$K$17:$L$245,2,FALSE)</f>
        <v>0</v>
      </c>
      <c r="BG13" s="1651">
        <f t="shared" ref="BG13" si="60">VLOOKUP(BG12,$K$17:$L$245,2,FALSE)</f>
        <v>0</v>
      </c>
      <c r="BH13" s="1651">
        <f t="shared" ref="BH13" si="61">VLOOKUP(BH12,$K$17:$L$245,2,FALSE)</f>
        <v>0</v>
      </c>
      <c r="BI13" s="1651">
        <f t="shared" ref="BI13" si="62">VLOOKUP(BI12,$K$17:$L$245,2,FALSE)</f>
        <v>0</v>
      </c>
      <c r="BJ13" s="1651">
        <f t="shared" ref="BJ13" si="63">VLOOKUP(BJ12,$K$17:$L$245,2,FALSE)</f>
        <v>0</v>
      </c>
      <c r="BK13" s="1651">
        <f t="shared" ref="BK13" si="64">VLOOKUP(BK12,$K$17:$L$245,2,FALSE)</f>
        <v>0</v>
      </c>
      <c r="BL13" s="1651">
        <f t="shared" ref="BL13" si="65">VLOOKUP(BL12,$K$17:$L$245,2,FALSE)</f>
        <v>0</v>
      </c>
      <c r="BM13" s="1651">
        <f t="shared" ref="BM13" si="66">VLOOKUP(BM12,$K$17:$L$245,2,FALSE)</f>
        <v>0</v>
      </c>
      <c r="BN13" s="1651">
        <f t="shared" ref="BN13" si="67">VLOOKUP(BN12,$K$17:$L$245,2,FALSE)</f>
        <v>0</v>
      </c>
      <c r="BO13" s="1651">
        <f t="shared" ref="BO13" si="68">VLOOKUP(BO12,$K$17:$L$245,2,FALSE)</f>
        <v>0</v>
      </c>
      <c r="BP13" s="1651">
        <f t="shared" ref="BP13" si="69">VLOOKUP(BP12,$K$17:$L$245,2,FALSE)</f>
        <v>0</v>
      </c>
      <c r="BQ13" s="1651">
        <f t="shared" ref="BQ13" si="70">VLOOKUP(BQ12,$K$17:$L$245,2,FALSE)</f>
        <v>0</v>
      </c>
      <c r="BR13" s="1651">
        <f t="shared" ref="BR13" si="71">VLOOKUP(BR12,$K$17:$L$245,2,FALSE)</f>
        <v>0</v>
      </c>
      <c r="BS13" s="1651">
        <f t="shared" ref="BS13" si="72">VLOOKUP(BS12,$K$17:$L$245,2,FALSE)</f>
        <v>0</v>
      </c>
      <c r="BT13" s="1651">
        <f t="shared" ref="BT13" si="73">VLOOKUP(BT12,$K$17:$L$245,2,FALSE)</f>
        <v>0</v>
      </c>
      <c r="BU13" s="1651">
        <f t="shared" ref="BU13" si="74">VLOOKUP(BU12,$K$17:$L$245,2,FALSE)</f>
        <v>0</v>
      </c>
      <c r="BV13" s="1651">
        <f t="shared" ref="BV13" si="75">VLOOKUP(BV12,$K$17:$L$245,2,FALSE)</f>
        <v>0</v>
      </c>
      <c r="BW13" s="1651">
        <f t="shared" ref="BW13:BX13" si="76">VLOOKUP(BW12,$K$17:$L$245,2,FALSE)</f>
        <v>0</v>
      </c>
      <c r="BX13" s="1651">
        <f t="shared" si="76"/>
        <v>0</v>
      </c>
      <c r="BY13" s="1651">
        <f t="shared" ref="BY13" si="77">VLOOKUP(BY12,$K$17:$L$245,2,FALSE)</f>
        <v>0</v>
      </c>
      <c r="BZ13" s="1651">
        <f t="shared" ref="BZ13" si="78">VLOOKUP(BZ12,$K$17:$L$245,2,FALSE)</f>
        <v>0</v>
      </c>
      <c r="CA13" s="1651">
        <f t="shared" ref="CA13" si="79">VLOOKUP(CA12,$K$17:$L$245,2,FALSE)</f>
        <v>0</v>
      </c>
      <c r="CB13" s="1651">
        <f t="shared" ref="CB13" si="80">VLOOKUP(CB12,$K$17:$L$245,2,FALSE)</f>
        <v>0</v>
      </c>
      <c r="CC13" s="1651">
        <f t="shared" ref="CC13" si="81">VLOOKUP(CC12,$K$17:$L$245,2,FALSE)</f>
        <v>0</v>
      </c>
      <c r="CD13" s="1651">
        <f t="shared" ref="CD13" si="82">VLOOKUP(CD12,$K$17:$L$245,2,FALSE)</f>
        <v>0</v>
      </c>
      <c r="CE13" s="1651">
        <f t="shared" ref="CE13" si="83">VLOOKUP(CE12,$K$17:$L$245,2,FALSE)</f>
        <v>0</v>
      </c>
      <c r="CF13" s="1651">
        <f t="shared" ref="CF13" si="84">VLOOKUP(CF12,$K$17:$L$245,2,FALSE)</f>
        <v>0</v>
      </c>
      <c r="CG13" s="1651">
        <f t="shared" ref="CG13" si="85">VLOOKUP(CG12,$K$17:$L$245,2,FALSE)</f>
        <v>0</v>
      </c>
      <c r="CH13" s="1651">
        <f t="shared" ref="CH13" si="86">VLOOKUP(CH12,$K$17:$L$245,2,FALSE)</f>
        <v>0</v>
      </c>
      <c r="CI13" s="1651">
        <f t="shared" ref="CI13" si="87">VLOOKUP(CI12,$K$17:$L$245,2,FALSE)</f>
        <v>0</v>
      </c>
      <c r="CJ13" s="1651">
        <f t="shared" ref="CJ13" si="88">VLOOKUP(CJ12,$K$17:$L$245,2,FALSE)</f>
        <v>0</v>
      </c>
      <c r="CK13" s="1651">
        <f t="shared" ref="CK13" si="89">VLOOKUP(CK12,$K$17:$L$245,2,FALSE)</f>
        <v>0</v>
      </c>
      <c r="CL13" s="1651">
        <f t="shared" ref="CL13" si="90">VLOOKUP(CL12,$K$17:$L$245,2,FALSE)</f>
        <v>0</v>
      </c>
      <c r="CM13" s="1651">
        <f t="shared" ref="CM13" si="91">VLOOKUP(CM12,$K$17:$L$245,2,FALSE)</f>
        <v>0</v>
      </c>
      <c r="CN13" s="1651">
        <f t="shared" ref="CN13" si="92">VLOOKUP(CN12,$K$17:$L$245,2,FALSE)</f>
        <v>0</v>
      </c>
      <c r="CO13" s="1651">
        <f t="shared" ref="CO13" si="93">VLOOKUP(CO12,$K$17:$L$245,2,FALSE)</f>
        <v>0</v>
      </c>
      <c r="CP13" s="1675">
        <f t="shared" ref="CP13:CT13" si="94">VLOOKUP(CP12,$M$17:$N$245,2,FALSE)</f>
        <v>0</v>
      </c>
      <c r="CQ13" s="1676">
        <f t="shared" si="94"/>
        <v>0</v>
      </c>
      <c r="CR13" s="1649">
        <f t="shared" si="94"/>
        <v>0</v>
      </c>
      <c r="CS13" s="1649">
        <f t="shared" si="94"/>
        <v>0</v>
      </c>
      <c r="CT13" s="1649">
        <f t="shared" si="94"/>
        <v>0</v>
      </c>
      <c r="CU13" s="1649">
        <f t="shared" ref="CU13" si="95">VLOOKUP(CU12,$M$17:$N$245,2,FALSE)</f>
        <v>0</v>
      </c>
      <c r="CV13" s="1649">
        <f t="shared" ref="CV13" si="96">VLOOKUP(CV12,$M$17:$N$245,2,FALSE)</f>
        <v>0</v>
      </c>
      <c r="CW13" s="1649">
        <f t="shared" ref="CW13" si="97">VLOOKUP(CW12,$M$17:$N$245,2,FALSE)</f>
        <v>0</v>
      </c>
      <c r="CX13" s="1649">
        <f t="shared" ref="CX13" si="98">VLOOKUP(CX12,$M$17:$N$245,2,FALSE)</f>
        <v>0</v>
      </c>
      <c r="CY13" s="1649">
        <f t="shared" ref="CY13" si="99">VLOOKUP(CY12,$M$17:$N$245,2,FALSE)</f>
        <v>0</v>
      </c>
      <c r="CZ13" s="1649">
        <f t="shared" ref="CZ13" si="100">VLOOKUP(CZ12,$M$17:$N$245,2,FALSE)</f>
        <v>0</v>
      </c>
      <c r="DA13" s="1649">
        <f t="shared" ref="DA13" si="101">VLOOKUP(DA12,$M$17:$N$245,2,FALSE)</f>
        <v>0</v>
      </c>
      <c r="DB13" s="1649">
        <f t="shared" ref="DB13" si="102">VLOOKUP(DB12,$M$17:$N$245,2,FALSE)</f>
        <v>0</v>
      </c>
      <c r="DC13" s="1649">
        <f t="shared" ref="DC13" si="103">VLOOKUP(DC12,$M$17:$N$245,2,FALSE)</f>
        <v>0</v>
      </c>
      <c r="DD13" s="1649">
        <f t="shared" ref="DD13" si="104">VLOOKUP(DD12,$M$17:$N$245,2,FALSE)</f>
        <v>0</v>
      </c>
      <c r="DE13" s="1649">
        <f t="shared" ref="DE13" si="105">VLOOKUP(DE12,$M$17:$N$245,2,FALSE)</f>
        <v>0</v>
      </c>
      <c r="DF13" s="1649">
        <f t="shared" ref="DF13" si="106">VLOOKUP(DF12,$M$17:$N$245,2,FALSE)</f>
        <v>0</v>
      </c>
      <c r="DG13" s="1649">
        <f t="shared" ref="DG13" si="107">VLOOKUP(DG12,$M$17:$N$245,2,FALSE)</f>
        <v>0</v>
      </c>
      <c r="DH13" s="1649">
        <f t="shared" ref="DH13" si="108">VLOOKUP(DH12,$M$17:$N$245,2,FALSE)</f>
        <v>0</v>
      </c>
      <c r="DI13" s="1649">
        <f t="shared" ref="DI13" si="109">VLOOKUP(DI12,$M$17:$N$245,2,FALSE)</f>
        <v>0</v>
      </c>
      <c r="DJ13" s="1649">
        <f t="shared" ref="DJ13" si="110">VLOOKUP(DJ12,$M$17:$N$245,2,FALSE)</f>
        <v>0</v>
      </c>
      <c r="DK13" s="1649">
        <f t="shared" ref="DK13" si="111">VLOOKUP(DK12,$M$17:$N$245,2,FALSE)</f>
        <v>0</v>
      </c>
      <c r="DL13" s="1649">
        <f t="shared" ref="DL13" si="112">VLOOKUP(DL12,$M$17:$N$245,2,FALSE)</f>
        <v>0</v>
      </c>
      <c r="DM13" s="1649">
        <f t="shared" ref="DM13" si="113">VLOOKUP(DM12,$M$17:$N$245,2,FALSE)</f>
        <v>0</v>
      </c>
      <c r="DN13" s="1649">
        <f t="shared" ref="DN13" si="114">VLOOKUP(DN12,$M$17:$N$245,2,FALSE)</f>
        <v>0</v>
      </c>
      <c r="DO13" s="1649">
        <f t="shared" ref="DO13" si="115">VLOOKUP(DO12,$M$17:$N$245,2,FALSE)</f>
        <v>0</v>
      </c>
      <c r="DP13" s="1649">
        <f t="shared" ref="DP13" si="116">VLOOKUP(DP12,$M$17:$N$245,2,FALSE)</f>
        <v>0</v>
      </c>
      <c r="DQ13" s="1649">
        <f t="shared" ref="DQ13" si="117">VLOOKUP(DQ12,$M$17:$N$245,2,FALSE)</f>
        <v>0</v>
      </c>
      <c r="DR13" s="1649">
        <f t="shared" ref="DR13" si="118">VLOOKUP(DR12,$M$17:$N$245,2,FALSE)</f>
        <v>0</v>
      </c>
      <c r="DS13" s="1649">
        <f t="shared" ref="DS13" si="119">VLOOKUP(DS12,$M$17:$N$245,2,FALSE)</f>
        <v>0</v>
      </c>
      <c r="DT13" s="1649">
        <f t="shared" ref="DT13" si="120">VLOOKUP(DT12,$M$17:$N$245,2,FALSE)</f>
        <v>0</v>
      </c>
      <c r="DU13" s="1649">
        <f t="shared" ref="DU13" si="121">VLOOKUP(DU12,$M$17:$N$245,2,FALSE)</f>
        <v>0</v>
      </c>
      <c r="DV13" s="1649">
        <f t="shared" ref="DV13" si="122">VLOOKUP(DV12,$M$17:$N$245,2,FALSE)</f>
        <v>0</v>
      </c>
      <c r="DW13" s="1649">
        <f t="shared" ref="DW13" si="123">VLOOKUP(DW12,$M$17:$N$245,2,FALSE)</f>
        <v>0</v>
      </c>
      <c r="DX13" s="1649">
        <f t="shared" ref="DX13" si="124">VLOOKUP(DX12,$M$17:$N$245,2,FALSE)</f>
        <v>0</v>
      </c>
      <c r="DY13" s="1649">
        <f t="shared" ref="DY13" si="125">VLOOKUP(DY12,$M$17:$N$245,2,FALSE)</f>
        <v>0</v>
      </c>
      <c r="DZ13" s="1649">
        <f t="shared" ref="DZ13" si="126">VLOOKUP(DZ12,$M$17:$N$245,2,FALSE)</f>
        <v>0</v>
      </c>
      <c r="EA13" s="1649">
        <f t="shared" ref="EA13" si="127">VLOOKUP(EA12,$M$17:$N$245,2,FALSE)</f>
        <v>0</v>
      </c>
      <c r="EB13" s="1649">
        <f t="shared" ref="EB13" si="128">VLOOKUP(EB12,$M$17:$N$245,2,FALSE)</f>
        <v>0</v>
      </c>
      <c r="EC13" s="1649">
        <f t="shared" ref="EC13" si="129">VLOOKUP(EC12,$M$17:$N$245,2,FALSE)</f>
        <v>0</v>
      </c>
      <c r="ED13" s="1649">
        <f t="shared" ref="ED13" si="130">VLOOKUP(ED12,$M$17:$N$245,2,FALSE)</f>
        <v>0</v>
      </c>
      <c r="EE13" s="1649">
        <f t="shared" ref="EE13" si="131">VLOOKUP(EE12,$M$17:$N$245,2,FALSE)</f>
        <v>0</v>
      </c>
      <c r="EF13" s="1649">
        <f t="shared" ref="EF13" si="132">VLOOKUP(EF12,$M$17:$N$245,2,FALSE)</f>
        <v>0</v>
      </c>
      <c r="EG13" s="1649">
        <f t="shared" ref="EG13" si="133">VLOOKUP(EG12,$M$17:$N$245,2,FALSE)</f>
        <v>0</v>
      </c>
      <c r="EH13" s="1649">
        <f t="shared" ref="EH13" si="134">VLOOKUP(EH12,$M$17:$N$245,2,FALSE)</f>
        <v>0</v>
      </c>
      <c r="EI13" s="1649">
        <f t="shared" ref="EI13" si="135">VLOOKUP(EI12,$M$17:$N$245,2,FALSE)</f>
        <v>0</v>
      </c>
      <c r="EJ13" s="1649">
        <f t="shared" ref="EJ13" si="136">VLOOKUP(EJ12,$M$17:$N$245,2,FALSE)</f>
        <v>0</v>
      </c>
      <c r="EK13" s="1649">
        <f t="shared" ref="EK13" si="137">VLOOKUP(EK12,$M$17:$N$245,2,FALSE)</f>
        <v>0</v>
      </c>
      <c r="EL13" s="1649">
        <f t="shared" ref="EL13" si="138">VLOOKUP(EL12,$M$17:$N$245,2,FALSE)</f>
        <v>0</v>
      </c>
      <c r="EM13" s="1649">
        <f t="shared" ref="EM13" si="139">VLOOKUP(EM12,$M$17:$N$245,2,FALSE)</f>
        <v>0</v>
      </c>
      <c r="EN13" s="1649">
        <f t="shared" ref="EN13" si="140">VLOOKUP(EN12,$M$17:$N$245,2,FALSE)</f>
        <v>0</v>
      </c>
      <c r="EO13" s="1649">
        <f t="shared" ref="EO13" si="141">VLOOKUP(EO12,$M$17:$N$245,2,FALSE)</f>
        <v>0</v>
      </c>
      <c r="EP13" s="1649">
        <f t="shared" ref="EP13" si="142">VLOOKUP(EP12,$M$17:$N$245,2,FALSE)</f>
        <v>0</v>
      </c>
      <c r="EQ13" s="1649">
        <f t="shared" ref="EQ13" si="143">VLOOKUP(EQ12,$M$17:$N$245,2,FALSE)</f>
        <v>0</v>
      </c>
      <c r="ER13" s="1649">
        <f t="shared" ref="ER13" si="144">VLOOKUP(ER12,$M$17:$N$245,2,FALSE)</f>
        <v>0</v>
      </c>
      <c r="ES13" s="1649">
        <f t="shared" ref="ES13" si="145">VLOOKUP(ES12,$M$17:$N$245,2,FALSE)</f>
        <v>0</v>
      </c>
      <c r="ET13" s="1649">
        <f t="shared" ref="ET13" si="146">VLOOKUP(ET12,$M$17:$N$245,2,FALSE)</f>
        <v>0</v>
      </c>
      <c r="EU13" s="1649">
        <f t="shared" ref="EU13" si="147">VLOOKUP(EU12,$M$17:$N$245,2,FALSE)</f>
        <v>0</v>
      </c>
      <c r="EV13" s="1649">
        <f t="shared" ref="EV13" si="148">VLOOKUP(EV12,$M$17:$N$245,2,FALSE)</f>
        <v>0</v>
      </c>
      <c r="EW13" s="1649">
        <f t="shared" ref="EW13" si="149">VLOOKUP(EW12,$M$17:$N$245,2,FALSE)</f>
        <v>0</v>
      </c>
      <c r="EX13" s="1649">
        <f t="shared" ref="EX13" si="150">VLOOKUP(EX12,$M$17:$N$245,2,FALSE)</f>
        <v>0</v>
      </c>
      <c r="EY13" s="1649">
        <f t="shared" ref="EY13" si="151">VLOOKUP(EY12,$M$17:$N$245,2,FALSE)</f>
        <v>0</v>
      </c>
      <c r="EZ13" s="1649">
        <f t="shared" ref="EZ13" si="152">VLOOKUP(EZ12,$M$17:$N$245,2,FALSE)</f>
        <v>0</v>
      </c>
      <c r="FA13" s="1649">
        <f t="shared" ref="FA13" si="153">VLOOKUP(FA12,$M$17:$N$245,2,FALSE)</f>
        <v>0</v>
      </c>
      <c r="FB13" s="1649">
        <f t="shared" ref="FB13" si="154">VLOOKUP(FB12,$M$17:$N$245,2,FALSE)</f>
        <v>0</v>
      </c>
      <c r="FC13" s="1649">
        <f t="shared" ref="FC13" si="155">VLOOKUP(FC12,$M$17:$N$245,2,FALSE)</f>
        <v>0</v>
      </c>
      <c r="FD13" s="1649">
        <f t="shared" ref="FD13" si="156">VLOOKUP(FD12,$M$17:$N$245,2,FALSE)</f>
        <v>0</v>
      </c>
      <c r="FE13" s="1649">
        <f t="shared" ref="FE13" si="157">VLOOKUP(FE12,$M$17:$N$245,2,FALSE)</f>
        <v>0</v>
      </c>
      <c r="FF13" s="1649">
        <f t="shared" ref="FF13" si="158">VLOOKUP(FF12,$M$17:$N$245,2,FALSE)</f>
        <v>0</v>
      </c>
      <c r="FG13" s="1649">
        <f t="shared" ref="FG13" si="159">VLOOKUP(FG12,$M$17:$N$245,2,FALSE)</f>
        <v>0</v>
      </c>
      <c r="FH13" s="1649">
        <f t="shared" ref="FH13" si="160">VLOOKUP(FH12,$M$17:$N$245,2,FALSE)</f>
        <v>0</v>
      </c>
      <c r="FI13" s="1649">
        <f t="shared" ref="FI13" si="161">VLOOKUP(FI12,$M$17:$N$245,2,FALSE)</f>
        <v>0</v>
      </c>
      <c r="FJ13" s="1649">
        <f t="shared" ref="FJ13" si="162">VLOOKUP(FJ12,$M$17:$N$245,2,FALSE)</f>
        <v>0</v>
      </c>
      <c r="FK13" s="1649">
        <f t="shared" ref="FK13" si="163">VLOOKUP(FK12,$M$17:$N$245,2,FALSE)</f>
        <v>0</v>
      </c>
      <c r="FL13" s="1649">
        <f t="shared" ref="FL13" si="164">VLOOKUP(FL12,$M$17:$N$245,2,FALSE)</f>
        <v>0</v>
      </c>
      <c r="FM13" s="1649">
        <f t="shared" ref="FM13" si="165">VLOOKUP(FM12,$M$17:$N$245,2,FALSE)</f>
        <v>0</v>
      </c>
      <c r="FN13" s="1649">
        <f t="shared" ref="FN13" si="166">VLOOKUP(FN12,$M$17:$N$245,2,FALSE)</f>
        <v>0</v>
      </c>
      <c r="FO13" s="1649">
        <f t="shared" ref="FO13" si="167">VLOOKUP(FO12,$M$17:$N$245,2,FALSE)</f>
        <v>0</v>
      </c>
      <c r="FP13" s="1649">
        <f t="shared" ref="FP13" si="168">VLOOKUP(FP12,$M$17:$N$245,2,FALSE)</f>
        <v>0</v>
      </c>
      <c r="FQ13" s="1649">
        <f t="shared" ref="FQ13" si="169">VLOOKUP(FQ12,$M$17:$N$245,2,FALSE)</f>
        <v>0</v>
      </c>
      <c r="FR13" s="1649">
        <f t="shared" ref="FR13" si="170">VLOOKUP(FR12,$M$17:$N$245,2,FALSE)</f>
        <v>0</v>
      </c>
      <c r="FS13" s="1649">
        <f t="shared" ref="FS13" si="171">VLOOKUP(FS12,$M$17:$N$245,2,FALSE)</f>
        <v>0</v>
      </c>
      <c r="FT13" s="1649">
        <f t="shared" ref="FT13" si="172">VLOOKUP(FT12,$M$17:$N$245,2,FALSE)</f>
        <v>0</v>
      </c>
      <c r="FU13" s="1649">
        <f t="shared" ref="FU13" si="173">VLOOKUP(FU12,$M$17:$N$245,2,FALSE)</f>
        <v>0</v>
      </c>
      <c r="FV13" s="1649">
        <f t="shared" ref="FV13" si="174">VLOOKUP(FV12,$M$17:$N$245,2,FALSE)</f>
        <v>0</v>
      </c>
      <c r="FW13" s="1649">
        <f t="shared" ref="FW13" si="175">VLOOKUP(FW12,$M$17:$N$245,2,FALSE)</f>
        <v>0</v>
      </c>
      <c r="FX13" s="1649">
        <f t="shared" ref="FX13" si="176">VLOOKUP(FX12,$M$17:$N$245,2,FALSE)</f>
        <v>0</v>
      </c>
      <c r="FY13" s="1649">
        <f t="shared" ref="FY13" si="177">VLOOKUP(FY12,$M$17:$N$245,2,FALSE)</f>
        <v>0</v>
      </c>
      <c r="FZ13" s="1649">
        <f t="shared" ref="FZ13" si="178">VLOOKUP(FZ12,$M$17:$N$245,2,FALSE)</f>
        <v>0</v>
      </c>
      <c r="GA13" s="1649">
        <f t="shared" ref="GA13" si="179">VLOOKUP(GA12,$M$17:$N$245,2,FALSE)</f>
        <v>0</v>
      </c>
      <c r="GB13" s="1649">
        <f t="shared" ref="GB13" si="180">VLOOKUP(GB12,$M$17:$N$245,2,FALSE)</f>
        <v>0</v>
      </c>
      <c r="GC13" s="1649">
        <f t="shared" ref="GC13" si="181">VLOOKUP(GC12,$M$17:$N$245,2,FALSE)</f>
        <v>0</v>
      </c>
      <c r="GD13" s="1649">
        <f t="shared" ref="GD13" si="182">VLOOKUP(GD12,$M$17:$N$245,2,FALSE)</f>
        <v>0</v>
      </c>
      <c r="GE13" s="1649">
        <f t="shared" ref="GE13" si="183">VLOOKUP(GE12,$M$17:$N$245,2,FALSE)</f>
        <v>0</v>
      </c>
      <c r="GF13" s="1649">
        <f t="shared" ref="GF13" si="184">VLOOKUP(GF12,$M$17:$N$245,2,FALSE)</f>
        <v>0</v>
      </c>
      <c r="GG13" s="1684">
        <f>VLOOKUP(GG12,$O$17:$P$245,2,FALSE)</f>
        <v>0</v>
      </c>
      <c r="GH13" s="1684">
        <f>VLOOKUP(GH12,$O$17:$P$245,2,FALSE)</f>
        <v>0</v>
      </c>
      <c r="GI13" s="1684">
        <f>VLOOKUP(GI12,$Q$17:$R$245,2,FALSE)</f>
        <v>0</v>
      </c>
      <c r="GJ13" s="1684">
        <f t="shared" ref="GJ13:GK13" si="185">VLOOKUP(GJ12,$Q$17:$R$245,2,FALSE)</f>
        <v>0</v>
      </c>
      <c r="GK13" s="1684" t="str">
        <f t="shared" si="185"/>
        <v/>
      </c>
    </row>
    <row r="14" spans="1:201" hidden="1">
      <c r="B14" s="807"/>
      <c r="C14" s="830"/>
      <c r="N14" s="986"/>
      <c r="O14" s="1022"/>
      <c r="DT14" s="973"/>
    </row>
    <row r="15" spans="1:201" ht="33" customHeight="1" thickBot="1">
      <c r="B15" s="1919" t="str">
        <f>'Completeness Tracker'!$O$23&amp;" "&amp;'Completeness Tracker'!$O$31&amp;" - "&amp;'Completeness Tracker'!$O$24&amp;'Completeness Tracker'!$O$39</f>
        <v>Annual Monitoring Report - Fiscal Activity - Reporting Year 2018 - Mayor's Office of Housing &amp; Community Development</v>
      </c>
      <c r="C15" s="1919"/>
      <c r="D15" s="1919"/>
      <c r="E15" s="1919"/>
      <c r="F15" s="1919"/>
      <c r="G15" s="1919"/>
      <c r="H15" s="1919"/>
      <c r="I15" s="1919"/>
      <c r="J15" s="1919"/>
      <c r="K15" s="1066"/>
      <c r="L15" s="1934"/>
      <c r="M15" s="1934"/>
      <c r="N15" s="1934"/>
      <c r="O15" s="1023"/>
      <c r="P15" s="478"/>
      <c r="Q15" s="1023"/>
      <c r="R15" s="478"/>
      <c r="S15" s="109"/>
      <c r="FD15" s="475"/>
    </row>
    <row r="16" spans="1:201" ht="27" customHeight="1" thickBot="1">
      <c r="B16" s="1920" t="s">
        <v>144</v>
      </c>
      <c r="C16" s="1921"/>
      <c r="D16" s="1921"/>
      <c r="E16" s="1921"/>
      <c r="F16" s="1921"/>
      <c r="G16" s="1921"/>
      <c r="H16" s="1921"/>
      <c r="I16" s="1921"/>
      <c r="J16" s="1922"/>
      <c r="K16" s="1067"/>
      <c r="L16" s="1905" t="s">
        <v>426</v>
      </c>
      <c r="M16" s="1906"/>
      <c r="N16" s="1907"/>
      <c r="O16" s="1695" t="s">
        <v>2415</v>
      </c>
      <c r="P16" s="1914" t="s">
        <v>2176</v>
      </c>
      <c r="Q16" s="1915"/>
      <c r="R16" s="1915"/>
      <c r="S16" s="109"/>
      <c r="FD16" s="475"/>
    </row>
    <row r="17" spans="1:160" ht="27.6">
      <c r="A17" s="1687" t="s">
        <v>2415</v>
      </c>
      <c r="B17" s="1486" t="s">
        <v>145</v>
      </c>
      <c r="C17" s="1688" t="s">
        <v>2415</v>
      </c>
      <c r="D17" s="40" t="s">
        <v>120</v>
      </c>
      <c r="E17" s="1689" t="s">
        <v>2415</v>
      </c>
      <c r="F17" s="462">
        <f>' 1A.Prop&amp;Residents'!$G$12</f>
        <v>0</v>
      </c>
      <c r="G17" s="1690" t="s">
        <v>2415</v>
      </c>
      <c r="H17" s="40" t="s">
        <v>121</v>
      </c>
      <c r="I17" s="1691" t="s">
        <v>2415</v>
      </c>
      <c r="J17" s="1487">
        <f>' 1A.Prop&amp;Residents'!$G$13</f>
        <v>0</v>
      </c>
      <c r="K17" s="1692" t="s">
        <v>2415</v>
      </c>
      <c r="L17" s="491" t="s">
        <v>424</v>
      </c>
      <c r="M17" s="1693" t="s">
        <v>2415</v>
      </c>
      <c r="N17" s="1413" t="s">
        <v>425</v>
      </c>
      <c r="O17" s="1412" t="s">
        <v>1053</v>
      </c>
      <c r="P17" s="1697">
        <f>IFERROR(INDEX('HIDE-ProjList'!$J:$J,MATCH($F$18,'HIDE-ProjList'!$F:$F,0)),0)</f>
        <v>0</v>
      </c>
      <c r="Q17" s="1694" t="s">
        <v>2415</v>
      </c>
      <c r="R17" s="622" t="s">
        <v>683</v>
      </c>
      <c r="S17" s="109"/>
      <c r="FD17" s="475"/>
    </row>
    <row r="18" spans="1:160" ht="20.25" customHeight="1" thickBot="1">
      <c r="B18" s="1488" t="s">
        <v>1080</v>
      </c>
      <c r="C18" s="41"/>
      <c r="D18" s="87">
        <f>' 1A.Prop&amp;Residents'!$I$48</f>
        <v>0</v>
      </c>
      <c r="E18" s="987"/>
      <c r="F18" s="989" t="str">
        <f>' 1A.Prop&amp;Residents'!S9</f>
        <v/>
      </c>
      <c r="G18" s="1090"/>
      <c r="H18" s="990"/>
      <c r="I18" s="1090"/>
      <c r="J18" s="1489"/>
      <c r="K18" s="1206" t="s">
        <v>1038</v>
      </c>
      <c r="L18" s="1696">
        <f>IFERROR(INDEX('HIDE-ProjList'!$I:$I,MATCH($F$18,'HIDE-ProjList'!$F:$F,0)),0)</f>
        <v>0</v>
      </c>
      <c r="M18" s="1004" t="s">
        <v>1039</v>
      </c>
      <c r="N18" s="1414">
        <f>IF(D18&gt;0,IF(L18&gt;0,D18-L18,D18),)</f>
        <v>0</v>
      </c>
      <c r="O18" s="1025"/>
      <c r="P18" s="1908" t="s">
        <v>2177</v>
      </c>
      <c r="Q18" s="1909"/>
      <c r="R18" s="1910"/>
      <c r="S18" s="109"/>
      <c r="FD18" s="475"/>
    </row>
    <row r="19" spans="1:160" ht="13.8">
      <c r="B19" s="1490"/>
      <c r="C19" s="1166"/>
      <c r="D19" s="42" t="s">
        <v>146</v>
      </c>
      <c r="E19" s="1122"/>
      <c r="F19" s="43"/>
      <c r="G19" s="1122"/>
      <c r="H19" s="43"/>
      <c r="I19" s="1068"/>
      <c r="J19" s="1491"/>
      <c r="K19" s="1068"/>
      <c r="L19" s="1940" t="s">
        <v>422</v>
      </c>
      <c r="M19" s="1941"/>
      <c r="N19" s="1942"/>
      <c r="O19" s="1024"/>
      <c r="P19" s="1911"/>
      <c r="Q19" s="1912"/>
      <c r="R19" s="1913"/>
      <c r="S19" s="109"/>
      <c r="FD19" s="475"/>
    </row>
    <row r="20" spans="1:160" s="46" customFormat="1" ht="27.6">
      <c r="A20" s="4"/>
      <c r="B20" s="1492" t="s">
        <v>458</v>
      </c>
      <c r="C20" s="1167"/>
      <c r="D20" s="44" t="s">
        <v>148</v>
      </c>
      <c r="E20" s="1123"/>
      <c r="F20" s="45" t="s">
        <v>149</v>
      </c>
      <c r="G20" s="1123"/>
      <c r="H20" s="45" t="s">
        <v>150</v>
      </c>
      <c r="I20" s="1091"/>
      <c r="J20" s="1493" t="s">
        <v>151</v>
      </c>
      <c r="K20" s="1068"/>
      <c r="L20" s="492" t="s">
        <v>59</v>
      </c>
      <c r="M20" s="1052"/>
      <c r="N20" s="493" t="s">
        <v>423</v>
      </c>
      <c r="O20" s="1052"/>
      <c r="P20" s="553" t="s">
        <v>443</v>
      </c>
      <c r="Q20" s="286" t="s">
        <v>2413</v>
      </c>
      <c r="R20" s="1627"/>
      <c r="S20" s="1483"/>
      <c r="FD20" s="476"/>
    </row>
    <row r="21" spans="1:160" s="47" customFormat="1" ht="26.4">
      <c r="B21" s="1494"/>
      <c r="C21" s="1053"/>
      <c r="D21" s="463"/>
      <c r="E21" s="1053"/>
      <c r="F21" s="463"/>
      <c r="G21" s="1053"/>
      <c r="H21" s="463"/>
      <c r="I21" s="1053"/>
      <c r="J21" s="1495"/>
      <c r="K21" s="1206" t="s">
        <v>1040</v>
      </c>
      <c r="L21" s="494">
        <f>ROUND(IF(L18&gt;0, L18/D18, 0),2)</f>
        <v>0</v>
      </c>
      <c r="M21" s="1004" t="s">
        <v>1041</v>
      </c>
      <c r="N21" s="495">
        <f>IF(N18&gt;0, IF(D18&lt;&gt;"", 1-L21, ""), 0)</f>
        <v>0</v>
      </c>
      <c r="O21" s="1026"/>
      <c r="P21" s="553" t="s">
        <v>442</v>
      </c>
      <c r="Q21" s="1004" t="s">
        <v>2414</v>
      </c>
      <c r="R21" s="1626"/>
      <c r="S21" s="130"/>
      <c r="T21"/>
      <c r="U21" s="470"/>
      <c r="V21" s="470"/>
      <c r="AA21"/>
      <c r="AB21"/>
      <c r="AC21"/>
    </row>
    <row r="22" spans="1:160" ht="20.25" customHeight="1">
      <c r="A22" t="s">
        <v>242</v>
      </c>
      <c r="B22" s="1496" t="s">
        <v>76</v>
      </c>
      <c r="C22" s="1168"/>
      <c r="D22" s="48"/>
      <c r="E22" s="1142"/>
      <c r="F22" s="463"/>
      <c r="G22" s="1053"/>
      <c r="H22" s="463"/>
      <c r="I22" s="1053"/>
      <c r="J22" s="1495"/>
      <c r="K22" s="1053"/>
      <c r="L22" s="496"/>
      <c r="M22" s="1053"/>
      <c r="N22" s="497"/>
      <c r="O22" s="1027"/>
      <c r="P22" s="1908" t="s">
        <v>2178</v>
      </c>
      <c r="Q22" s="1909"/>
      <c r="R22" s="1910"/>
      <c r="S22" s="109"/>
      <c r="U22" s="167">
        <f>T23</f>
        <v>2.1</v>
      </c>
      <c r="V22" s="919" t="str">
        <f>IF(J46=0, "incomplete", "OK")</f>
        <v>incomplete</v>
      </c>
      <c r="W22" s="168" t="s">
        <v>263</v>
      </c>
      <c r="X22" s="169"/>
      <c r="Y22" s="169"/>
      <c r="Z22" s="170"/>
    </row>
    <row r="23" spans="1:160" ht="28.2">
      <c r="B23" s="1497" t="s">
        <v>152</v>
      </c>
      <c r="C23" s="54"/>
      <c r="D23" s="144">
        <v>5120</v>
      </c>
      <c r="E23" s="286" t="s">
        <v>79</v>
      </c>
      <c r="F23" s="1698"/>
      <c r="G23" s="159"/>
      <c r="H23" s="136"/>
      <c r="I23" s="1092"/>
      <c r="J23" s="1498"/>
      <c r="K23" s="1206" t="s">
        <v>1042</v>
      </c>
      <c r="L23" s="1628"/>
      <c r="M23" s="1004" t="s">
        <v>1043</v>
      </c>
      <c r="N23" s="498">
        <f>F23-L23</f>
        <v>0</v>
      </c>
      <c r="O23" s="1020"/>
      <c r="P23" s="1911"/>
      <c r="Q23" s="1912"/>
      <c r="R23" s="1913"/>
      <c r="T23" s="167">
        <v>2.1</v>
      </c>
      <c r="U23" s="171">
        <f>T29</f>
        <v>2.2000000000000002</v>
      </c>
      <c r="V23" s="919" t="str">
        <f>IF(F29="", "incomplete", "OK")</f>
        <v>incomplete</v>
      </c>
      <c r="W23" s="168" t="s">
        <v>264</v>
      </c>
      <c r="X23" s="73"/>
      <c r="Y23" s="73"/>
      <c r="Z23" s="162"/>
    </row>
    <row r="24" spans="1:160" ht="31.5" customHeight="1">
      <c r="B24" s="1499" t="s">
        <v>682</v>
      </c>
      <c r="C24" s="842"/>
      <c r="D24" s="144">
        <v>5121</v>
      </c>
      <c r="E24" s="286" t="s">
        <v>80</v>
      </c>
      <c r="F24" s="1698"/>
      <c r="G24" s="1124"/>
      <c r="H24" s="137"/>
      <c r="I24" s="1092"/>
      <c r="J24" s="1498"/>
      <c r="K24" s="1206" t="s">
        <v>1044</v>
      </c>
      <c r="L24" s="510">
        <f>P17+P27</f>
        <v>0</v>
      </c>
      <c r="M24" s="1004" t="s">
        <v>1045</v>
      </c>
      <c r="N24" s="1612">
        <f>F24-L24</f>
        <v>0</v>
      </c>
      <c r="O24" s="1020"/>
      <c r="P24" s="1916" t="s">
        <v>441</v>
      </c>
      <c r="Q24" s="1917"/>
      <c r="R24" s="1918"/>
      <c r="T24" s="109"/>
      <c r="U24" s="172">
        <f>T119</f>
        <v>2.2999999999999998</v>
      </c>
      <c r="V24" s="919" t="str">
        <f>IF(J119=0, "incomplete", "OK")</f>
        <v>incomplete</v>
      </c>
      <c r="W24" s="161" t="s">
        <v>265</v>
      </c>
      <c r="X24" s="73"/>
      <c r="Y24" s="73"/>
      <c r="Z24" s="162"/>
    </row>
    <row r="25" spans="1:160" ht="31.95" customHeight="1">
      <c r="B25" s="1500" t="s">
        <v>98</v>
      </c>
      <c r="C25" s="286" t="s">
        <v>81</v>
      </c>
      <c r="D25" s="1625"/>
      <c r="E25" s="83"/>
      <c r="F25" s="138"/>
      <c r="G25" s="1092"/>
      <c r="H25" s="138"/>
      <c r="I25" s="1092"/>
      <c r="J25" s="1498"/>
      <c r="K25" s="1028"/>
      <c r="L25" s="499"/>
      <c r="M25" s="1054"/>
      <c r="N25" s="500"/>
      <c r="O25" s="1028"/>
      <c r="P25" s="620" t="s">
        <v>59</v>
      </c>
      <c r="Q25" s="1209"/>
      <c r="R25" s="619" t="s">
        <v>423</v>
      </c>
      <c r="T25" s="109"/>
      <c r="U25" s="922">
        <f>T141</f>
        <v>2.4</v>
      </c>
      <c r="V25" s="918" t="str">
        <f>IF(U174&lt;19,"incomplete","OK")</f>
        <v>incomplete</v>
      </c>
      <c r="W25" s="923" t="s">
        <v>1590</v>
      </c>
    </row>
    <row r="26" spans="1:160" ht="22.5" customHeight="1">
      <c r="B26" s="1501" t="s">
        <v>459</v>
      </c>
      <c r="C26" s="1169"/>
      <c r="D26" s="145">
        <v>5140</v>
      </c>
      <c r="E26" s="988"/>
      <c r="F26" s="136"/>
      <c r="G26" s="286" t="s">
        <v>82</v>
      </c>
      <c r="H26" s="1698"/>
      <c r="I26" s="1093"/>
      <c r="J26" s="1498"/>
      <c r="K26" s="1028"/>
      <c r="L26" s="499"/>
      <c r="M26" s="1054"/>
      <c r="N26" s="500"/>
      <c r="O26" s="1028"/>
      <c r="P26" s="1630"/>
      <c r="Q26" s="1210"/>
      <c r="R26" s="482">
        <f>IF(P26&lt;&gt;"", 1-P26, N$21)</f>
        <v>0</v>
      </c>
      <c r="T26" s="109"/>
      <c r="U26" s="173">
        <f>T187</f>
        <v>2.5</v>
      </c>
      <c r="V26" s="919" t="str">
        <f>IF(D187&lt;23.5%,IF(V187&lt;6,"incomplete","OK"),IF(D187&gt;26.5%,IF(V187&lt;6,"incomplete","OK"),IF(V187&lt;5,"incomplete","OK")))</f>
        <v>incomplete</v>
      </c>
      <c r="W26" s="407" t="s">
        <v>1591</v>
      </c>
      <c r="X26" s="73"/>
      <c r="Y26" s="73"/>
      <c r="Z26" s="162"/>
    </row>
    <row r="27" spans="1:160" ht="27.6">
      <c r="B27" s="52" t="s">
        <v>154</v>
      </c>
      <c r="C27" s="994"/>
      <c r="D27" s="139"/>
      <c r="E27" s="139"/>
      <c r="F27" s="141">
        <f>SUM(F23:F26)</f>
        <v>0</v>
      </c>
      <c r="G27" s="140"/>
      <c r="H27" s="140">
        <f>SUM(H23:H26)</f>
        <v>0</v>
      </c>
      <c r="I27" s="140"/>
      <c r="J27" s="140">
        <f>F27+H27</f>
        <v>0</v>
      </c>
      <c r="K27" s="1018"/>
      <c r="L27" s="1614">
        <f t="shared" ref="L27:N27" si="186">SUM(L23:L26)</f>
        <v>0</v>
      </c>
      <c r="M27" s="1018"/>
      <c r="N27" s="1613">
        <f t="shared" si="186"/>
        <v>0</v>
      </c>
      <c r="O27" s="1412" t="s">
        <v>1048</v>
      </c>
      <c r="P27" s="575">
        <f>IF(R20&lt;&gt;"", IF(P26&lt;&gt;"", P26*R20,L21*R20), 0)</f>
        <v>0</v>
      </c>
      <c r="Q27" s="286" t="s">
        <v>1049</v>
      </c>
      <c r="R27" s="575" t="str">
        <f>IF(R20&lt;&gt;"", R20-P27, "")</f>
        <v/>
      </c>
      <c r="T27" s="109"/>
      <c r="U27" s="174">
        <f>T197</f>
        <v>2.6</v>
      </c>
      <c r="V27" s="919" t="str">
        <f>IF(D197="", "incomplete", IF(V197&lt;6, "incomplete", "OK"))</f>
        <v>incomplete</v>
      </c>
      <c r="W27" s="407" t="s">
        <v>1592</v>
      </c>
      <c r="X27" s="73"/>
      <c r="Y27" s="73"/>
      <c r="Z27" s="162"/>
    </row>
    <row r="28" spans="1:160" ht="14.4" thickBot="1">
      <c r="B28" s="1502" t="s">
        <v>690</v>
      </c>
      <c r="C28" s="995"/>
      <c r="D28" s="627"/>
      <c r="E28" s="625"/>
      <c r="F28" s="625"/>
      <c r="G28" s="625"/>
      <c r="H28" s="626"/>
      <c r="I28" s="625"/>
      <c r="J28" s="1503" t="s">
        <v>155</v>
      </c>
      <c r="K28" s="1069"/>
      <c r="L28" s="501"/>
      <c r="M28" s="1029"/>
      <c r="N28" s="502"/>
      <c r="O28" s="1029"/>
      <c r="T28" s="109"/>
      <c r="U28" s="698">
        <f>T200</f>
        <v>2.7</v>
      </c>
      <c r="V28" s="918" t="str">
        <f>IF(V206&lt;&gt;12,"incomplete","OK")</f>
        <v>incomplete</v>
      </c>
      <c r="W28" s="699" t="s">
        <v>1593</v>
      </c>
    </row>
    <row r="29" spans="1:160" ht="60.75" customHeight="1">
      <c r="B29" s="1504" t="s">
        <v>156</v>
      </c>
      <c r="C29" s="54"/>
      <c r="D29" s="146">
        <v>5220</v>
      </c>
      <c r="E29" s="286" t="s">
        <v>83</v>
      </c>
      <c r="F29" s="159"/>
      <c r="G29" s="159"/>
      <c r="H29" s="551" t="s">
        <v>440</v>
      </c>
      <c r="I29" s="1094"/>
      <c r="J29" s="1505" t="str">
        <f>IF(SUM(F23:F24)=0,"",-F29/SUM(F23:F24))</f>
        <v/>
      </c>
      <c r="K29" s="1206" t="s">
        <v>1046</v>
      </c>
      <c r="L29" s="1629"/>
      <c r="M29" s="1004" t="s">
        <v>1047</v>
      </c>
      <c r="N29" s="503">
        <f>F29-L29</f>
        <v>0</v>
      </c>
      <c r="O29" s="1020"/>
      <c r="P29" s="2002" t="s">
        <v>2535</v>
      </c>
      <c r="R29" s="2002" t="s">
        <v>2536</v>
      </c>
      <c r="T29" s="171">
        <v>2.2000000000000002</v>
      </c>
      <c r="U29" s="926">
        <f>T210</f>
        <v>2.8</v>
      </c>
      <c r="V29" s="919" t="str">
        <f>IF(AND(J119&lt;&gt;0,U229=9),"OK","incomplete")</f>
        <v>incomplete</v>
      </c>
      <c r="W29" s="699" t="s">
        <v>1594</v>
      </c>
      <c r="Z29" s="162"/>
    </row>
    <row r="30" spans="1:160" ht="32.25" customHeight="1">
      <c r="B30" s="1506" t="s">
        <v>153</v>
      </c>
      <c r="C30" s="55"/>
      <c r="D30" s="146">
        <v>5240</v>
      </c>
      <c r="E30" s="988"/>
      <c r="F30" s="136"/>
      <c r="G30" s="286" t="s">
        <v>84</v>
      </c>
      <c r="H30" s="159"/>
      <c r="I30" s="834"/>
      <c r="J30" s="1505">
        <f>IF(H26=0, 0,-H30/H26)</f>
        <v>0</v>
      </c>
      <c r="K30" s="1006"/>
      <c r="L30" s="504"/>
      <c r="M30" s="1055"/>
      <c r="N30" s="1411"/>
      <c r="O30" s="1030"/>
      <c r="P30" s="2003"/>
      <c r="R30" s="2003"/>
      <c r="S30" s="109"/>
      <c r="U30" s="409">
        <f>T244</f>
        <v>2.9</v>
      </c>
      <c r="V30" s="919" t="str">
        <f>IF($D$18&lt;1, "incomplete", IF(U244="needed", IF(V244&lt;1, "incomplete", "OK"), "OK"))</f>
        <v>incomplete</v>
      </c>
      <c r="W30" s="407" t="s">
        <v>1595</v>
      </c>
      <c r="X30" s="73"/>
      <c r="Y30" s="162"/>
      <c r="Z30" s="162"/>
    </row>
    <row r="31" spans="1:160" ht="13.8">
      <c r="B31" s="52" t="s">
        <v>157</v>
      </c>
      <c r="C31" s="994"/>
      <c r="D31" s="139"/>
      <c r="E31" s="139"/>
      <c r="F31" s="141">
        <f>F29</f>
        <v>0</v>
      </c>
      <c r="G31" s="141"/>
      <c r="H31" s="141">
        <f>H30</f>
        <v>0</v>
      </c>
      <c r="I31" s="140"/>
      <c r="J31" s="140">
        <f>F31+H31</f>
        <v>0</v>
      </c>
      <c r="K31" s="1018"/>
      <c r="L31" s="1417">
        <f>L29</f>
        <v>0</v>
      </c>
      <c r="M31" s="1019"/>
      <c r="N31" s="505">
        <f>N29</f>
        <v>0</v>
      </c>
      <c r="O31" s="1021"/>
      <c r="P31" s="2003"/>
      <c r="R31" s="2003"/>
      <c r="S31" s="109"/>
    </row>
    <row r="32" spans="1:160" ht="13.8">
      <c r="B32" s="52"/>
      <c r="C32" s="994"/>
      <c r="D32" s="139"/>
      <c r="E32" s="139"/>
      <c r="F32" s="141"/>
      <c r="G32" s="140"/>
      <c r="H32" s="140"/>
      <c r="I32" s="140"/>
      <c r="J32" s="140"/>
      <c r="K32" s="1018"/>
      <c r="L32" s="1417"/>
      <c r="M32" s="1019"/>
      <c r="N32" s="505"/>
      <c r="O32" s="1021"/>
      <c r="P32" s="2003"/>
      <c r="R32" s="2003"/>
      <c r="S32" s="109"/>
    </row>
    <row r="33" spans="1:19" ht="26.25" customHeight="1">
      <c r="A33" t="s">
        <v>242</v>
      </c>
      <c r="B33" s="52" t="s">
        <v>158</v>
      </c>
      <c r="C33" s="994"/>
      <c r="D33" s="139"/>
      <c r="E33" s="139"/>
      <c r="F33" s="141">
        <f>F27+F31</f>
        <v>0</v>
      </c>
      <c r="G33" s="140"/>
      <c r="H33" s="140">
        <f>H27+H31</f>
        <v>0</v>
      </c>
      <c r="I33" s="140"/>
      <c r="J33" s="140">
        <f>F33+H33</f>
        <v>0</v>
      </c>
      <c r="K33" s="1018"/>
      <c r="L33" s="1615">
        <f t="shared" ref="L33:N33" si="187">L27+L31</f>
        <v>0</v>
      </c>
      <c r="M33" s="1019"/>
      <c r="N33" s="1616">
        <f t="shared" si="187"/>
        <v>0</v>
      </c>
      <c r="O33" s="1021"/>
      <c r="P33" s="2003"/>
      <c r="R33" s="2003"/>
      <c r="S33" s="109"/>
    </row>
    <row r="34" spans="1:19" s="4" customFormat="1" ht="9" customHeight="1">
      <c r="B34" s="1507"/>
      <c r="C34" s="1165"/>
      <c r="D34" s="82"/>
      <c r="E34" s="1143"/>
      <c r="F34" s="142"/>
      <c r="G34" s="1028"/>
      <c r="H34" s="142"/>
      <c r="I34" s="1028"/>
      <c r="J34" s="1508"/>
      <c r="K34" s="1027"/>
      <c r="L34" s="506"/>
      <c r="M34" s="1030"/>
      <c r="N34" s="507"/>
      <c r="O34" s="1030"/>
      <c r="P34" s="2003"/>
      <c r="Q34" s="83"/>
      <c r="R34" s="2003"/>
      <c r="S34" s="131"/>
    </row>
    <row r="35" spans="1:19" ht="13.8">
      <c r="B35" s="1509" t="s">
        <v>77</v>
      </c>
      <c r="C35" s="1170"/>
      <c r="D35" s="143"/>
      <c r="E35" s="1144"/>
      <c r="F35" s="465"/>
      <c r="G35" s="1125"/>
      <c r="H35" s="464"/>
      <c r="I35" s="1054"/>
      <c r="J35" s="1510"/>
      <c r="K35" s="1064"/>
      <c r="L35" s="508"/>
      <c r="M35" s="1056"/>
      <c r="N35" s="509"/>
      <c r="O35" s="1030"/>
      <c r="P35" s="2003"/>
      <c r="R35" s="2003"/>
      <c r="S35" s="109"/>
    </row>
    <row r="36" spans="1:19" ht="21.75" customHeight="1">
      <c r="B36" s="1511" t="s">
        <v>465</v>
      </c>
      <c r="C36" s="1171"/>
      <c r="D36" s="144">
        <v>5170</v>
      </c>
      <c r="E36" s="286" t="s">
        <v>85</v>
      </c>
      <c r="F36" s="1698"/>
      <c r="G36" s="286" t="s">
        <v>86</v>
      </c>
      <c r="H36" s="1698"/>
      <c r="I36" s="1093"/>
      <c r="J36" s="1512"/>
      <c r="K36" s="286" t="s">
        <v>2238</v>
      </c>
      <c r="L36" s="510">
        <f>F36*L$51</f>
        <v>0</v>
      </c>
      <c r="M36" s="286" t="s">
        <v>2245</v>
      </c>
      <c r="N36" s="511">
        <f>F36-L36</f>
        <v>0</v>
      </c>
      <c r="O36" s="1031"/>
      <c r="P36" s="2003"/>
      <c r="R36" s="2003"/>
      <c r="S36" s="109"/>
    </row>
    <row r="37" spans="1:19" ht="21.75" customHeight="1">
      <c r="B37" s="1497" t="s">
        <v>160</v>
      </c>
      <c r="C37" s="54"/>
      <c r="D37" s="144">
        <v>5190</v>
      </c>
      <c r="E37" s="286" t="s">
        <v>87</v>
      </c>
      <c r="F37" s="1698"/>
      <c r="G37" s="286" t="s">
        <v>88</v>
      </c>
      <c r="H37" s="1698"/>
      <c r="I37" s="1093"/>
      <c r="J37" s="1512"/>
      <c r="K37" s="286" t="s">
        <v>2239</v>
      </c>
      <c r="L37" s="510">
        <f>F37*L$51</f>
        <v>0</v>
      </c>
      <c r="M37" s="286" t="s">
        <v>2246</v>
      </c>
      <c r="N37" s="511">
        <f t="shared" ref="N37:N38" si="188">F37-L37</f>
        <v>0</v>
      </c>
      <c r="O37" s="1031"/>
      <c r="P37" s="2003"/>
      <c r="R37" s="2003"/>
      <c r="S37" s="109"/>
    </row>
    <row r="38" spans="1:19" ht="40.200000000000003">
      <c r="B38" s="1499" t="s">
        <v>777</v>
      </c>
      <c r="C38" s="842"/>
      <c r="D38" s="144">
        <v>5300</v>
      </c>
      <c r="E38" s="286" t="s">
        <v>89</v>
      </c>
      <c r="F38" s="1698"/>
      <c r="G38" s="1126"/>
      <c r="H38" s="150"/>
      <c r="I38" s="1095"/>
      <c r="J38" s="1512"/>
      <c r="K38" s="1126"/>
      <c r="L38" s="510">
        <f>F38*L$51</f>
        <v>0</v>
      </c>
      <c r="M38" s="1126"/>
      <c r="N38" s="511">
        <f t="shared" si="188"/>
        <v>0</v>
      </c>
      <c r="O38" s="1031"/>
      <c r="P38" s="2003"/>
      <c r="R38" s="2003"/>
      <c r="S38" s="109"/>
    </row>
    <row r="39" spans="1:19" ht="13.5" customHeight="1">
      <c r="B39" s="1500" t="s">
        <v>99</v>
      </c>
      <c r="C39" s="286" t="s">
        <v>90</v>
      </c>
      <c r="D39" s="1625"/>
      <c r="E39" s="286" t="s">
        <v>90</v>
      </c>
      <c r="F39" s="149"/>
      <c r="G39" s="1127"/>
      <c r="H39" s="150"/>
      <c r="I39" s="1095"/>
      <c r="J39" s="1512"/>
      <c r="K39" s="1127"/>
      <c r="L39" s="512"/>
      <c r="M39" s="1127"/>
      <c r="N39" s="513"/>
      <c r="O39" s="1032"/>
      <c r="S39" s="109"/>
    </row>
    <row r="40" spans="1:19" ht="22.5" customHeight="1">
      <c r="B40" s="1497" t="s">
        <v>1341</v>
      </c>
      <c r="C40" s="54"/>
      <c r="D40" s="144">
        <v>5400</v>
      </c>
      <c r="E40" s="286" t="s">
        <v>91</v>
      </c>
      <c r="F40" s="1698"/>
      <c r="G40" s="286" t="s">
        <v>92</v>
      </c>
      <c r="H40" s="1698"/>
      <c r="I40" s="1093"/>
      <c r="J40" s="1512"/>
      <c r="K40" s="286" t="s">
        <v>2240</v>
      </c>
      <c r="L40" s="510">
        <f>F40*L$51</f>
        <v>0</v>
      </c>
      <c r="M40" s="286" t="s">
        <v>2247</v>
      </c>
      <c r="N40" s="511">
        <f t="shared" ref="N40:N43" si="189">F40-L40</f>
        <v>0</v>
      </c>
      <c r="O40" s="1031"/>
      <c r="P40" s="1938" t="s">
        <v>431</v>
      </c>
      <c r="Q40" s="1938"/>
      <c r="R40" s="1939"/>
      <c r="S40" s="109"/>
    </row>
    <row r="41" spans="1:19" ht="22.5" customHeight="1">
      <c r="B41" s="1497" t="s">
        <v>162</v>
      </c>
      <c r="C41" s="54"/>
      <c r="D41" s="144">
        <v>5910</v>
      </c>
      <c r="E41" s="286" t="s">
        <v>93</v>
      </c>
      <c r="F41" s="1698"/>
      <c r="G41" s="286" t="s">
        <v>94</v>
      </c>
      <c r="H41" s="1698"/>
      <c r="I41" s="1093"/>
      <c r="J41" s="1512"/>
      <c r="K41" s="286" t="s">
        <v>2241</v>
      </c>
      <c r="L41" s="510">
        <f>F41*L$51</f>
        <v>0</v>
      </c>
      <c r="M41" s="286" t="s">
        <v>2248</v>
      </c>
      <c r="N41" s="511">
        <f t="shared" si="189"/>
        <v>0</v>
      </c>
      <c r="O41" s="1031"/>
      <c r="P41" s="618" t="s">
        <v>59</v>
      </c>
      <c r="Q41" s="1162"/>
      <c r="R41" s="619" t="s">
        <v>423</v>
      </c>
      <c r="S41" s="109"/>
    </row>
    <row r="42" spans="1:19" ht="22.5" customHeight="1">
      <c r="B42" s="1497" t="s">
        <v>163</v>
      </c>
      <c r="C42" s="54"/>
      <c r="D42" s="144">
        <v>5920</v>
      </c>
      <c r="E42" s="286" t="s">
        <v>95</v>
      </c>
      <c r="F42" s="1698"/>
      <c r="G42" s="286" t="s">
        <v>96</v>
      </c>
      <c r="H42" s="1698"/>
      <c r="I42" s="1093"/>
      <c r="J42" s="1512"/>
      <c r="K42" s="286" t="s">
        <v>2242</v>
      </c>
      <c r="L42" s="1602">
        <f>F42*L$51</f>
        <v>0</v>
      </c>
      <c r="M42" s="286" t="s">
        <v>2249</v>
      </c>
      <c r="N42" s="1603">
        <f>F42-L42</f>
        <v>0</v>
      </c>
      <c r="O42" s="1020"/>
      <c r="P42" s="490" t="str">
        <f>IF(F42&gt;0, L42/F42, "")</f>
        <v/>
      </c>
      <c r="Q42" s="1211"/>
      <c r="R42" s="481" t="str">
        <f>IF(F42&gt;0, N42/F42, "")</f>
        <v/>
      </c>
      <c r="S42" s="109"/>
    </row>
    <row r="43" spans="1:19" ht="22.5" customHeight="1">
      <c r="B43" s="1513" t="s">
        <v>44</v>
      </c>
      <c r="C43" s="1172"/>
      <c r="D43" s="145">
        <v>5990</v>
      </c>
      <c r="E43" s="286" t="s">
        <v>97</v>
      </c>
      <c r="F43" s="1698"/>
      <c r="G43" s="286" t="s">
        <v>876</v>
      </c>
      <c r="H43" s="1698"/>
      <c r="I43" s="1093"/>
      <c r="J43" s="1514"/>
      <c r="K43" s="286" t="s">
        <v>2243</v>
      </c>
      <c r="L43" s="515">
        <f>F43*L$51</f>
        <v>0</v>
      </c>
      <c r="M43" s="286" t="s">
        <v>2250</v>
      </c>
      <c r="N43" s="516">
        <f t="shared" si="189"/>
        <v>0</v>
      </c>
      <c r="O43" s="1031"/>
      <c r="S43" s="109"/>
    </row>
    <row r="44" spans="1:19" ht="13.8">
      <c r="B44" s="59" t="s">
        <v>165</v>
      </c>
      <c r="C44" s="994"/>
      <c r="D44" s="60"/>
      <c r="E44" s="1145"/>
      <c r="F44" s="134">
        <f>SUM(F36:F43)</f>
        <v>0</v>
      </c>
      <c r="G44" s="140"/>
      <c r="H44" s="134">
        <f>SUM(H36:H43)</f>
        <v>0</v>
      </c>
      <c r="I44" s="141"/>
      <c r="J44" s="134">
        <f>F44+H44</f>
        <v>0</v>
      </c>
      <c r="K44" s="1018"/>
      <c r="L44" s="1418">
        <f t="shared" ref="L44:N44" si="190">SUM(L36:L43)</f>
        <v>0</v>
      </c>
      <c r="M44" s="1040"/>
      <c r="N44" s="517">
        <f t="shared" si="190"/>
        <v>0</v>
      </c>
      <c r="O44" s="1033"/>
      <c r="S44" s="109"/>
    </row>
    <row r="45" spans="1:19" s="4" customFormat="1" ht="9.75" customHeight="1">
      <c r="B45" s="1507"/>
      <c r="C45" s="1165"/>
      <c r="D45" s="56"/>
      <c r="E45" s="1146"/>
      <c r="F45" s="57"/>
      <c r="G45" s="1027"/>
      <c r="H45" s="57"/>
      <c r="I45" s="1027"/>
      <c r="J45" s="1508"/>
      <c r="K45" s="1027"/>
      <c r="L45" s="518"/>
      <c r="M45" s="1034"/>
      <c r="N45" s="519"/>
      <c r="O45" s="1034"/>
      <c r="P45"/>
      <c r="Q45" s="19"/>
      <c r="R45"/>
      <c r="S45" s="131"/>
    </row>
    <row r="46" spans="1:19" ht="41.4">
      <c r="B46" s="1515" t="s">
        <v>1081</v>
      </c>
      <c r="C46" s="1173"/>
      <c r="D46" s="58"/>
      <c r="E46" s="286" t="s">
        <v>877</v>
      </c>
      <c r="F46" s="134">
        <f>F33+F44</f>
        <v>0</v>
      </c>
      <c r="G46" s="286" t="s">
        <v>878</v>
      </c>
      <c r="H46" s="134">
        <f>H33+H44</f>
        <v>0</v>
      </c>
      <c r="I46" s="286" t="s">
        <v>879</v>
      </c>
      <c r="J46" s="134">
        <f>J33+J44</f>
        <v>0</v>
      </c>
      <c r="K46" s="286" t="s">
        <v>2244</v>
      </c>
      <c r="L46" s="1418">
        <f t="shared" ref="L46:N46" si="191">L33+L44</f>
        <v>0</v>
      </c>
      <c r="M46" s="286" t="s">
        <v>2251</v>
      </c>
      <c r="N46" s="520">
        <f t="shared" si="191"/>
        <v>0</v>
      </c>
      <c r="O46" s="1033"/>
      <c r="S46" s="109"/>
    </row>
    <row r="47" spans="1:19" ht="13.8">
      <c r="B47" s="1516"/>
      <c r="C47" s="83"/>
      <c r="D47" s="4"/>
      <c r="E47" s="83"/>
      <c r="F47" s="4"/>
      <c r="G47" s="83"/>
      <c r="H47" s="4"/>
      <c r="I47" s="83"/>
      <c r="J47" s="1517"/>
      <c r="L47" s="521"/>
      <c r="M47" s="1035"/>
      <c r="N47" s="522"/>
      <c r="O47" s="1035"/>
    </row>
    <row r="48" spans="1:19" ht="14.4" thickBot="1">
      <c r="B48" s="991" t="s">
        <v>144</v>
      </c>
      <c r="C48" s="1096"/>
      <c r="D48" s="992"/>
      <c r="E48" s="1096"/>
      <c r="F48" s="992"/>
      <c r="G48" s="1096"/>
      <c r="H48" s="992"/>
      <c r="I48" s="1096"/>
      <c r="J48" s="1518"/>
      <c r="K48" s="938"/>
      <c r="L48" s="521"/>
      <c r="M48" s="1035"/>
      <c r="N48" s="522"/>
      <c r="O48" s="1035"/>
      <c r="S48" s="109"/>
    </row>
    <row r="49" spans="2:19" ht="13.8">
      <c r="B49" s="1490"/>
      <c r="C49" s="1166"/>
      <c r="D49" s="69" t="s">
        <v>146</v>
      </c>
      <c r="E49" s="1128"/>
      <c r="F49" s="70"/>
      <c r="G49" s="1128"/>
      <c r="H49" s="70"/>
      <c r="I49" s="1097"/>
      <c r="J49" s="1519"/>
      <c r="K49" s="1068"/>
      <c r="L49" s="1923" t="s">
        <v>422</v>
      </c>
      <c r="M49" s="1924"/>
      <c r="N49" s="1925"/>
      <c r="O49" s="1036"/>
      <c r="S49" s="109"/>
    </row>
    <row r="50" spans="2:19" ht="13.8">
      <c r="B50" s="1520" t="s">
        <v>147</v>
      </c>
      <c r="C50" s="1174"/>
      <c r="D50" s="42" t="s">
        <v>148</v>
      </c>
      <c r="E50" s="1122"/>
      <c r="F50" s="43" t="s">
        <v>149</v>
      </c>
      <c r="G50" s="1122"/>
      <c r="H50" s="43" t="s">
        <v>150</v>
      </c>
      <c r="I50" s="1068"/>
      <c r="J50" s="1493" t="s">
        <v>151</v>
      </c>
      <c r="K50" s="1068"/>
      <c r="L50" s="523" t="s">
        <v>59</v>
      </c>
      <c r="M50" s="1042"/>
      <c r="N50" s="524" t="s">
        <v>423</v>
      </c>
      <c r="O50" s="1036"/>
      <c r="S50" s="109"/>
    </row>
    <row r="51" spans="2:19" s="71" customFormat="1" ht="13.8">
      <c r="B51" s="1521" t="s">
        <v>196</v>
      </c>
      <c r="C51" s="1175"/>
      <c r="D51" s="993"/>
      <c r="E51" s="1147"/>
      <c r="F51" s="984"/>
      <c r="G51" s="1098"/>
      <c r="H51" s="984"/>
      <c r="I51" s="1098"/>
      <c r="J51" s="1522"/>
      <c r="K51" s="1070"/>
      <c r="L51" s="525">
        <f>L21</f>
        <v>0</v>
      </c>
      <c r="M51" s="1037"/>
      <c r="N51" s="1419">
        <f>N21</f>
        <v>0</v>
      </c>
      <c r="O51" s="1037"/>
      <c r="P51" s="1896" t="s">
        <v>432</v>
      </c>
      <c r="Q51" s="1896"/>
      <c r="R51" s="1896"/>
      <c r="S51" s="132"/>
    </row>
    <row r="52" spans="2:19" ht="19.5" customHeight="1">
      <c r="B52" s="1511" t="s">
        <v>197</v>
      </c>
      <c r="C52" s="1171"/>
      <c r="D52" s="49">
        <v>6320</v>
      </c>
      <c r="E52" s="286" t="s">
        <v>911</v>
      </c>
      <c r="F52" s="1699"/>
      <c r="G52" s="286" t="s">
        <v>912</v>
      </c>
      <c r="H52" s="1699"/>
      <c r="I52" s="1099"/>
      <c r="J52" s="1523"/>
      <c r="K52" s="286" t="s">
        <v>2252</v>
      </c>
      <c r="L52" s="1604">
        <f>IF(P52&lt;&gt;"", P52*F52, L$51*F52)</f>
        <v>0</v>
      </c>
      <c r="M52" s="286" t="s">
        <v>2278</v>
      </c>
      <c r="N52" s="1603">
        <f t="shared" ref="N52" si="192">F52-L52</f>
        <v>0</v>
      </c>
      <c r="O52" s="1020"/>
      <c r="P52" s="1630">
        <v>0.5</v>
      </c>
      <c r="Q52" s="1210"/>
      <c r="R52" s="482">
        <f>IF(P52&lt;&gt;"", 1-P52, N$21)</f>
        <v>0.5</v>
      </c>
      <c r="S52" s="109"/>
    </row>
    <row r="53" spans="2:19" ht="28.2">
      <c r="B53" s="1524" t="s">
        <v>103</v>
      </c>
      <c r="C53" s="1176"/>
      <c r="D53" s="49"/>
      <c r="E53" s="286" t="s">
        <v>913</v>
      </c>
      <c r="F53" s="1699"/>
      <c r="G53" s="286" t="s">
        <v>914</v>
      </c>
      <c r="H53" s="1699"/>
      <c r="I53" s="1099"/>
      <c r="J53" s="1523"/>
      <c r="K53" s="286" t="s">
        <v>2253</v>
      </c>
      <c r="L53" s="1604">
        <f>IF(P53&lt;&gt;"", P53*F53, L$51*F53)</f>
        <v>0</v>
      </c>
      <c r="M53" s="286" t="s">
        <v>2279</v>
      </c>
      <c r="N53" s="1603">
        <f t="shared" ref="N53" si="193">F53-L53</f>
        <v>0</v>
      </c>
      <c r="O53" s="1020"/>
      <c r="P53" s="1630"/>
      <c r="Q53" s="1210"/>
      <c r="R53" s="482">
        <f>IF(P53&lt;&gt;"", 1-P53, N$21)</f>
        <v>0</v>
      </c>
      <c r="S53" s="109"/>
    </row>
    <row r="54" spans="2:19" ht="13.8">
      <c r="B54" s="59" t="s">
        <v>199</v>
      </c>
      <c r="C54" s="994"/>
      <c r="D54" s="73"/>
      <c r="E54" s="1115"/>
      <c r="F54" s="62">
        <f>SUM(F52:F53)</f>
        <v>0</v>
      </c>
      <c r="G54" s="1071"/>
      <c r="H54" s="62">
        <f>SUM(H52:H53)</f>
        <v>0</v>
      </c>
      <c r="I54" s="1100"/>
      <c r="J54" s="62">
        <f>F54+H54</f>
        <v>0</v>
      </c>
      <c r="K54" s="1071"/>
      <c r="L54" s="1418">
        <f t="shared" ref="L54:N54" si="194">SUM(L52:L53)</f>
        <v>0</v>
      </c>
      <c r="M54" s="1071"/>
      <c r="N54" s="517">
        <f t="shared" si="194"/>
        <v>0</v>
      </c>
      <c r="O54" s="1033"/>
    </row>
    <row r="55" spans="2:19" ht="13.8">
      <c r="B55" s="1525" t="s">
        <v>200</v>
      </c>
      <c r="C55" s="1175"/>
      <c r="D55" s="993"/>
      <c r="E55" s="1147"/>
      <c r="F55" s="984"/>
      <c r="G55" s="1098"/>
      <c r="H55" s="984"/>
      <c r="I55" s="1098"/>
      <c r="J55" s="1522"/>
      <c r="K55" s="1098"/>
      <c r="L55" s="527"/>
      <c r="M55" s="1098"/>
      <c r="N55" s="528"/>
      <c r="O55" s="1038"/>
      <c r="P55" s="618" t="s">
        <v>59</v>
      </c>
      <c r="Q55" s="1162"/>
      <c r="R55" s="619" t="s">
        <v>423</v>
      </c>
    </row>
    <row r="56" spans="2:19" ht="22.5" customHeight="1">
      <c r="B56" s="1526" t="s">
        <v>201</v>
      </c>
      <c r="C56" s="1177"/>
      <c r="D56" s="49">
        <v>6310</v>
      </c>
      <c r="E56" s="286" t="s">
        <v>917</v>
      </c>
      <c r="F56" s="1699"/>
      <c r="G56" s="286" t="s">
        <v>918</v>
      </c>
      <c r="H56" s="1699"/>
      <c r="I56" s="1099"/>
      <c r="J56" s="1523"/>
      <c r="K56" s="286" t="s">
        <v>2254</v>
      </c>
      <c r="L56" s="1604">
        <f>IF(P56&lt;&gt;"", P56*F56, L$51*F56)</f>
        <v>0</v>
      </c>
      <c r="M56" s="286" t="s">
        <v>2280</v>
      </c>
      <c r="N56" s="1603">
        <f t="shared" ref="N56:N59" si="195">F56-L56</f>
        <v>0</v>
      </c>
      <c r="O56" s="1020"/>
      <c r="P56" s="1630">
        <v>0.5</v>
      </c>
      <c r="Q56" s="1210"/>
      <c r="R56" s="482">
        <f>IF(P56&lt;&gt;"", 1-P56, N$21)</f>
        <v>0.5</v>
      </c>
    </row>
    <row r="57" spans="2:19" ht="22.5" customHeight="1">
      <c r="B57" s="1526" t="s">
        <v>202</v>
      </c>
      <c r="C57" s="1177"/>
      <c r="D57" s="49">
        <v>6330</v>
      </c>
      <c r="E57" s="286" t="s">
        <v>919</v>
      </c>
      <c r="F57" s="1699"/>
      <c r="G57" s="286" t="s">
        <v>920</v>
      </c>
      <c r="H57" s="1699"/>
      <c r="I57" s="1099"/>
      <c r="J57" s="1523"/>
      <c r="K57" s="286" t="s">
        <v>2255</v>
      </c>
      <c r="L57" s="1604">
        <f>IF(P57&lt;&gt;"", P57*F57, L$51*F57)</f>
        <v>0</v>
      </c>
      <c r="M57" s="286" t="s">
        <v>2281</v>
      </c>
      <c r="N57" s="1603">
        <f t="shared" si="195"/>
        <v>0</v>
      </c>
      <c r="O57" s="1020"/>
      <c r="P57" s="1630"/>
      <c r="Q57" s="1210"/>
      <c r="R57" s="482">
        <f>IF(P57&lt;&gt;"", 1-P57, N$21)</f>
        <v>0</v>
      </c>
    </row>
    <row r="58" spans="2:19" ht="22.5" customHeight="1">
      <c r="B58" s="1527" t="s">
        <v>446</v>
      </c>
      <c r="C58" s="1178"/>
      <c r="D58" s="49">
        <v>6723</v>
      </c>
      <c r="E58" s="286" t="s">
        <v>921</v>
      </c>
      <c r="F58" s="1699"/>
      <c r="G58" s="286" t="s">
        <v>922</v>
      </c>
      <c r="H58" s="1699"/>
      <c r="I58" s="1099"/>
      <c r="J58" s="1523"/>
      <c r="K58" s="286" t="s">
        <v>2256</v>
      </c>
      <c r="L58" s="1604">
        <f>IF(P58&lt;&gt;"", P58*F58, L$51*F58)</f>
        <v>0</v>
      </c>
      <c r="M58" s="286" t="s">
        <v>2282</v>
      </c>
      <c r="N58" s="1603">
        <f t="shared" si="195"/>
        <v>0</v>
      </c>
      <c r="O58" s="1020"/>
      <c r="P58" s="1630"/>
      <c r="Q58" s="1210"/>
      <c r="R58" s="482">
        <f>IF(P58&lt;&gt;"", 1-P58, N$21)</f>
        <v>0</v>
      </c>
    </row>
    <row r="59" spans="2:19" ht="22.5" customHeight="1">
      <c r="B59" s="1528" t="s">
        <v>447</v>
      </c>
      <c r="C59" s="1179"/>
      <c r="D59" s="72"/>
      <c r="E59" s="286" t="s">
        <v>923</v>
      </c>
      <c r="F59" s="1699"/>
      <c r="G59" s="286" t="s">
        <v>924</v>
      </c>
      <c r="H59" s="1699"/>
      <c r="I59" s="1101"/>
      <c r="J59" s="1510"/>
      <c r="K59" s="286" t="s">
        <v>2257</v>
      </c>
      <c r="L59" s="1604">
        <f>IF(P59&lt;&gt;"", P59*F59, L$51*F59)</f>
        <v>0</v>
      </c>
      <c r="M59" s="286" t="s">
        <v>2283</v>
      </c>
      <c r="N59" s="1603">
        <f t="shared" si="195"/>
        <v>0</v>
      </c>
      <c r="O59" s="1020"/>
      <c r="P59" s="1630"/>
      <c r="Q59" s="1210"/>
      <c r="R59" s="482">
        <f>IF(P59&lt;&gt;"", 1-P59, N$21)</f>
        <v>0</v>
      </c>
    </row>
    <row r="60" spans="2:19" ht="22.5" customHeight="1">
      <c r="B60" s="1501" t="s">
        <v>198</v>
      </c>
      <c r="C60" s="1169"/>
      <c r="D60" s="51">
        <v>6331</v>
      </c>
      <c r="E60" s="286" t="s">
        <v>915</v>
      </c>
      <c r="F60" s="1699"/>
      <c r="G60" s="286" t="s">
        <v>916</v>
      </c>
      <c r="H60" s="1699"/>
      <c r="I60" s="1101"/>
      <c r="J60" s="1510"/>
      <c r="K60" s="286" t="s">
        <v>2258</v>
      </c>
      <c r="L60" s="1604">
        <f>IF(P60&lt;&gt;"", P60*F60, L$51*F60)</f>
        <v>0</v>
      </c>
      <c r="M60" s="286" t="s">
        <v>2284</v>
      </c>
      <c r="N60" s="1603">
        <f t="shared" ref="N60" si="196">F60-L60</f>
        <v>0</v>
      </c>
      <c r="O60" s="1020"/>
      <c r="P60" s="1630"/>
      <c r="Q60" s="1210"/>
      <c r="R60" s="482">
        <f>IF(P60&lt;&gt;"", 1-P60, N$21)</f>
        <v>0</v>
      </c>
      <c r="S60" s="109"/>
    </row>
    <row r="61" spans="2:19" ht="13.8">
      <c r="B61" s="59" t="s">
        <v>203</v>
      </c>
      <c r="C61" s="994"/>
      <c r="D61" s="73"/>
      <c r="E61" s="1115"/>
      <c r="F61" s="62">
        <f>SUM(F56:F60)</f>
        <v>0</v>
      </c>
      <c r="G61" s="1071"/>
      <c r="H61" s="62">
        <f>SUM(H56:H60)</f>
        <v>0</v>
      </c>
      <c r="I61" s="1100"/>
      <c r="J61" s="62">
        <f>F61+H61</f>
        <v>0</v>
      </c>
      <c r="K61" s="1071"/>
      <c r="L61" s="1418">
        <f>SUM(L56:L60)</f>
        <v>0</v>
      </c>
      <c r="M61" s="1071"/>
      <c r="N61" s="517">
        <f>SUM(N56:N60)</f>
        <v>0</v>
      </c>
      <c r="O61" s="1033"/>
    </row>
    <row r="62" spans="2:19" ht="13.8">
      <c r="B62" s="1529" t="s">
        <v>204</v>
      </c>
      <c r="C62" s="1180"/>
      <c r="D62" s="993"/>
      <c r="E62" s="1147"/>
      <c r="F62" s="984"/>
      <c r="G62" s="1098"/>
      <c r="H62" s="984"/>
      <c r="I62" s="1098"/>
      <c r="J62" s="1522"/>
      <c r="K62" s="1098"/>
      <c r="L62" s="527"/>
      <c r="M62" s="1098"/>
      <c r="N62" s="528"/>
      <c r="O62" s="1038"/>
    </row>
    <row r="63" spans="2:19" ht="18" customHeight="1">
      <c r="B63" s="1526" t="s">
        <v>205</v>
      </c>
      <c r="C63" s="1177"/>
      <c r="D63" s="49">
        <v>6210</v>
      </c>
      <c r="E63" s="286" t="s">
        <v>925</v>
      </c>
      <c r="F63" s="1699"/>
      <c r="G63" s="286" t="s">
        <v>926</v>
      </c>
      <c r="H63" s="1699"/>
      <c r="I63" s="1099"/>
      <c r="J63" s="1523"/>
      <c r="K63" s="286" t="s">
        <v>2259</v>
      </c>
      <c r="L63" s="526">
        <f t="shared" ref="L63:L70" si="197">F63*L$51</f>
        <v>0</v>
      </c>
      <c r="M63" s="286" t="s">
        <v>2285</v>
      </c>
      <c r="N63" s="696">
        <f>F63*N$51</f>
        <v>0</v>
      </c>
      <c r="O63" s="1039"/>
    </row>
    <row r="64" spans="2:19" ht="18" customHeight="1">
      <c r="B64" s="1526" t="s">
        <v>206</v>
      </c>
      <c r="C64" s="1177"/>
      <c r="D64" s="49">
        <v>6311</v>
      </c>
      <c r="E64" s="286" t="s">
        <v>927</v>
      </c>
      <c r="F64" s="1699"/>
      <c r="G64" s="286" t="s">
        <v>928</v>
      </c>
      <c r="H64" s="1699"/>
      <c r="I64" s="1099"/>
      <c r="J64" s="1523"/>
      <c r="K64" s="286" t="s">
        <v>2260</v>
      </c>
      <c r="L64" s="526">
        <f t="shared" si="197"/>
        <v>0</v>
      </c>
      <c r="M64" s="286" t="s">
        <v>2286</v>
      </c>
      <c r="N64" s="511">
        <f>F64*N$51</f>
        <v>0</v>
      </c>
      <c r="O64" s="1031"/>
      <c r="P64" s="1938" t="s">
        <v>431</v>
      </c>
      <c r="Q64" s="1938"/>
      <c r="R64" s="1939"/>
    </row>
    <row r="65" spans="2:19" ht="18" customHeight="1">
      <c r="B65" s="1526" t="s">
        <v>207</v>
      </c>
      <c r="C65" s="1177"/>
      <c r="D65" s="49">
        <v>6312</v>
      </c>
      <c r="E65" s="286" t="s">
        <v>929</v>
      </c>
      <c r="F65" s="1699"/>
      <c r="G65" s="286" t="s">
        <v>930</v>
      </c>
      <c r="H65" s="1699"/>
      <c r="I65" s="1099"/>
      <c r="J65" s="1523"/>
      <c r="K65" s="286" t="s">
        <v>2261</v>
      </c>
      <c r="L65" s="526">
        <f t="shared" si="197"/>
        <v>0</v>
      </c>
      <c r="M65" s="286" t="s">
        <v>2287</v>
      </c>
      <c r="N65" s="511">
        <f>F65*N$51</f>
        <v>0</v>
      </c>
      <c r="O65" s="1031"/>
      <c r="P65" s="618" t="s">
        <v>59</v>
      </c>
      <c r="Q65" s="1162"/>
      <c r="R65" s="619" t="s">
        <v>423</v>
      </c>
    </row>
    <row r="66" spans="2:19" ht="18" customHeight="1">
      <c r="B66" s="1526" t="s">
        <v>208</v>
      </c>
      <c r="C66" s="1177"/>
      <c r="D66" s="49">
        <v>6340</v>
      </c>
      <c r="E66" s="286" t="s">
        <v>931</v>
      </c>
      <c r="F66" s="1699"/>
      <c r="G66" s="286" t="s">
        <v>932</v>
      </c>
      <c r="H66" s="1699"/>
      <c r="I66" s="1099"/>
      <c r="J66" s="1523"/>
      <c r="K66" s="286" t="s">
        <v>2262</v>
      </c>
      <c r="L66" s="1602">
        <v>0</v>
      </c>
      <c r="M66" s="286" t="s">
        <v>2288</v>
      </c>
      <c r="N66" s="1603">
        <f>F66-L66</f>
        <v>0</v>
      </c>
      <c r="O66" s="1020"/>
      <c r="P66" s="490" t="str">
        <f>IF(F66&gt;0, L66/F66, "")</f>
        <v/>
      </c>
      <c r="Q66" s="1211"/>
      <c r="R66" s="481" t="str">
        <f>IF(F66&gt;0, N66/F66, "")</f>
        <v/>
      </c>
    </row>
    <row r="67" spans="2:19" ht="18" customHeight="1">
      <c r="B67" s="1526" t="s">
        <v>209</v>
      </c>
      <c r="C67" s="1177"/>
      <c r="D67" s="49">
        <v>6350</v>
      </c>
      <c r="E67" s="286" t="s">
        <v>933</v>
      </c>
      <c r="F67" s="1699"/>
      <c r="G67" s="286" t="s">
        <v>934</v>
      </c>
      <c r="H67" s="1699"/>
      <c r="I67" s="1099"/>
      <c r="J67" s="1523"/>
      <c r="K67" s="286" t="s">
        <v>2263</v>
      </c>
      <c r="L67" s="526">
        <f t="shared" si="197"/>
        <v>0</v>
      </c>
      <c r="M67" s="286" t="s">
        <v>2289</v>
      </c>
      <c r="N67" s="511">
        <f>F67*N$51</f>
        <v>0</v>
      </c>
      <c r="O67" s="1031"/>
    </row>
    <row r="68" spans="2:19" ht="18" customHeight="1">
      <c r="B68" s="1526" t="s">
        <v>210</v>
      </c>
      <c r="C68" s="1177"/>
      <c r="D68" s="49">
        <v>6351</v>
      </c>
      <c r="E68" s="286" t="s">
        <v>935</v>
      </c>
      <c r="F68" s="1699"/>
      <c r="G68" s="286" t="s">
        <v>936</v>
      </c>
      <c r="H68" s="1699"/>
      <c r="I68" s="1099"/>
      <c r="J68" s="1523"/>
      <c r="K68" s="286" t="s">
        <v>2264</v>
      </c>
      <c r="L68" s="526">
        <f t="shared" si="197"/>
        <v>0</v>
      </c>
      <c r="M68" s="286" t="s">
        <v>2290</v>
      </c>
      <c r="N68" s="511">
        <f>F68*N$51</f>
        <v>0</v>
      </c>
      <c r="O68" s="1031"/>
    </row>
    <row r="69" spans="2:19" ht="18" customHeight="1">
      <c r="B69" s="1526" t="s">
        <v>211</v>
      </c>
      <c r="C69" s="1177"/>
      <c r="D69" s="49">
        <v>6370</v>
      </c>
      <c r="E69" s="286" t="s">
        <v>937</v>
      </c>
      <c r="F69" s="1699"/>
      <c r="G69" s="286" t="s">
        <v>938</v>
      </c>
      <c r="H69" s="1699"/>
      <c r="I69" s="1101"/>
      <c r="J69" s="1530"/>
      <c r="K69" s="286" t="s">
        <v>2265</v>
      </c>
      <c r="L69" s="1602">
        <f t="shared" si="197"/>
        <v>0</v>
      </c>
      <c r="M69" s="286" t="s">
        <v>2291</v>
      </c>
      <c r="N69" s="1603">
        <f>F69-L69</f>
        <v>0</v>
      </c>
      <c r="O69" s="1020"/>
      <c r="P69" s="490" t="str">
        <f>IF(F69&gt;0, L69/F69, "")</f>
        <v/>
      </c>
      <c r="Q69" s="1211"/>
      <c r="R69" s="481" t="str">
        <f>IF(F69&gt;0, N69/F69, "")</f>
        <v/>
      </c>
    </row>
    <row r="70" spans="2:19" ht="18" customHeight="1">
      <c r="B70" s="1531" t="s">
        <v>1105</v>
      </c>
      <c r="C70" s="1181"/>
      <c r="D70" s="51">
        <v>6390</v>
      </c>
      <c r="E70" s="286" t="s">
        <v>939</v>
      </c>
      <c r="F70" s="1699"/>
      <c r="G70" s="286" t="s">
        <v>940</v>
      </c>
      <c r="H70" s="1699"/>
      <c r="I70" s="1102"/>
      <c r="J70" s="1532"/>
      <c r="K70" s="286" t="s">
        <v>2266</v>
      </c>
      <c r="L70" s="526">
        <f t="shared" si="197"/>
        <v>0</v>
      </c>
      <c r="M70" s="286" t="s">
        <v>2292</v>
      </c>
      <c r="N70" s="511">
        <f>F70*N$51</f>
        <v>0</v>
      </c>
      <c r="O70" s="1031"/>
      <c r="S70" s="19"/>
    </row>
    <row r="71" spans="2:19" ht="13.8">
      <c r="B71" s="59" t="s">
        <v>213</v>
      </c>
      <c r="C71" s="994"/>
      <c r="D71" s="73"/>
      <c r="E71" s="1115"/>
      <c r="F71" s="62">
        <f>SUM(F63:F70)</f>
        <v>0</v>
      </c>
      <c r="G71" s="1071"/>
      <c r="H71" s="62">
        <f>SUM(H63:H70)</f>
        <v>0</v>
      </c>
      <c r="I71" s="1100"/>
      <c r="J71" s="62">
        <f>F71+H71</f>
        <v>0</v>
      </c>
      <c r="K71" s="1071"/>
      <c r="L71" s="1418">
        <f t="shared" ref="L71:N71" si="198">SUM(L63:L70)</f>
        <v>0</v>
      </c>
      <c r="M71" s="1071"/>
      <c r="N71" s="517">
        <f t="shared" si="198"/>
        <v>0</v>
      </c>
      <c r="O71" s="1033"/>
    </row>
    <row r="72" spans="2:19" ht="13.8">
      <c r="B72" s="1529" t="s">
        <v>214</v>
      </c>
      <c r="C72" s="1180"/>
      <c r="D72" s="993"/>
      <c r="E72" s="1147"/>
      <c r="F72" s="984"/>
      <c r="G72" s="1098"/>
      <c r="H72" s="984"/>
      <c r="I72" s="1098"/>
      <c r="J72" s="1522"/>
      <c r="K72" s="1098"/>
      <c r="L72" s="1605"/>
      <c r="M72" s="1098"/>
      <c r="N72" s="1606"/>
      <c r="O72" s="1038"/>
    </row>
    <row r="73" spans="2:19" ht="18.75" customHeight="1">
      <c r="B73" s="1526" t="s">
        <v>215</v>
      </c>
      <c r="C73" s="1177"/>
      <c r="D73" s="49">
        <v>6450</v>
      </c>
      <c r="E73" s="286" t="s">
        <v>941</v>
      </c>
      <c r="F73" s="1699"/>
      <c r="G73" s="286" t="s">
        <v>942</v>
      </c>
      <c r="H73" s="1699"/>
      <c r="I73" s="1099"/>
      <c r="J73" s="1523"/>
      <c r="K73" s="286" t="s">
        <v>2267</v>
      </c>
      <c r="L73" s="1602">
        <f>F73*L$51</f>
        <v>0</v>
      </c>
      <c r="M73" s="286" t="s">
        <v>2293</v>
      </c>
      <c r="N73" s="1603">
        <f>F73-L73</f>
        <v>0</v>
      </c>
      <c r="O73" s="1020"/>
      <c r="P73" s="490" t="str">
        <f>IF(F73&gt;0, L73/F73, "")</f>
        <v/>
      </c>
      <c r="Q73" s="1211"/>
      <c r="R73" s="481" t="str">
        <f>IF(F73&gt;0, N73/F73, "")</f>
        <v/>
      </c>
    </row>
    <row r="74" spans="2:19" ht="18.75" customHeight="1">
      <c r="B74" s="1526" t="s">
        <v>216</v>
      </c>
      <c r="C74" s="1177"/>
      <c r="D74" s="49">
        <v>6451</v>
      </c>
      <c r="E74" s="286" t="s">
        <v>943</v>
      </c>
      <c r="F74" s="1699"/>
      <c r="G74" s="286" t="s">
        <v>944</v>
      </c>
      <c r="H74" s="1699"/>
      <c r="I74" s="1099"/>
      <c r="J74" s="1523"/>
      <c r="K74" s="286" t="s">
        <v>2268</v>
      </c>
      <c r="L74" s="526">
        <f>F74*L$51</f>
        <v>0</v>
      </c>
      <c r="M74" s="286" t="s">
        <v>2294</v>
      </c>
      <c r="N74" s="511">
        <f>F74*N$51</f>
        <v>0</v>
      </c>
      <c r="O74" s="1031"/>
    </row>
    <row r="75" spans="2:19" ht="18.75" customHeight="1">
      <c r="B75" s="1526" t="s">
        <v>217</v>
      </c>
      <c r="C75" s="1177"/>
      <c r="D75" s="49">
        <v>6452</v>
      </c>
      <c r="E75" s="286" t="s">
        <v>945</v>
      </c>
      <c r="F75" s="1699"/>
      <c r="G75" s="286" t="s">
        <v>946</v>
      </c>
      <c r="H75" s="1699"/>
      <c r="I75" s="1099"/>
      <c r="J75" s="1523"/>
      <c r="K75" s="286" t="s">
        <v>2269</v>
      </c>
      <c r="L75" s="526">
        <f>F75*L$51</f>
        <v>0</v>
      </c>
      <c r="M75" s="286" t="s">
        <v>2295</v>
      </c>
      <c r="N75" s="511">
        <f>F75*N$51</f>
        <v>0</v>
      </c>
      <c r="O75" s="1031"/>
    </row>
    <row r="76" spans="2:19" ht="18.75" customHeight="1">
      <c r="B76" s="1533" t="s">
        <v>218</v>
      </c>
      <c r="C76" s="1182"/>
      <c r="D76" s="51">
        <v>6453</v>
      </c>
      <c r="E76" s="286" t="s">
        <v>947</v>
      </c>
      <c r="F76" s="1699"/>
      <c r="G76" s="286" t="s">
        <v>948</v>
      </c>
      <c r="H76" s="1699"/>
      <c r="I76" s="1101"/>
      <c r="J76" s="1510"/>
      <c r="K76" s="286" t="s">
        <v>2270</v>
      </c>
      <c r="L76" s="526">
        <f>F76*L$51</f>
        <v>0</v>
      </c>
      <c r="M76" s="286" t="s">
        <v>2296</v>
      </c>
      <c r="N76" s="511">
        <f>F76*N$51</f>
        <v>0</v>
      </c>
      <c r="O76" s="1031"/>
    </row>
    <row r="77" spans="2:19" ht="13.8">
      <c r="B77" s="59" t="s">
        <v>219</v>
      </c>
      <c r="C77" s="994"/>
      <c r="D77" s="73"/>
      <c r="E77" s="1115"/>
      <c r="F77" s="62">
        <f>SUM(F73:F76)</f>
        <v>0</v>
      </c>
      <c r="G77" s="1071"/>
      <c r="H77" s="62">
        <f>SUM(H73:H76)</f>
        <v>0</v>
      </c>
      <c r="I77" s="1100"/>
      <c r="J77" s="62">
        <f>F77+H77</f>
        <v>0</v>
      </c>
      <c r="K77" s="1071"/>
      <c r="L77" s="1418">
        <f t="shared" ref="L77:N77" si="199">SUM(L73:L76)</f>
        <v>0</v>
      </c>
      <c r="M77" s="1071"/>
      <c r="N77" s="517">
        <f t="shared" si="199"/>
        <v>0</v>
      </c>
      <c r="O77" s="1040"/>
      <c r="P77" s="1895" t="s">
        <v>432</v>
      </c>
      <c r="Q77" s="1895"/>
      <c r="R77" s="1896"/>
    </row>
    <row r="78" spans="2:19" ht="13.8">
      <c r="B78" s="1534" t="s">
        <v>483</v>
      </c>
      <c r="C78" s="1183"/>
      <c r="D78" s="993"/>
      <c r="E78" s="1147"/>
      <c r="F78" s="984"/>
      <c r="G78" s="1098"/>
      <c r="H78" s="984"/>
      <c r="I78" s="1098"/>
      <c r="J78" s="1522"/>
      <c r="K78" s="1098"/>
      <c r="L78" s="527"/>
      <c r="M78" s="1098"/>
      <c r="N78" s="528"/>
      <c r="O78" s="1038"/>
      <c r="P78" s="1895"/>
      <c r="Q78" s="1895"/>
      <c r="R78" s="1896"/>
    </row>
    <row r="79" spans="2:19" ht="22.5" customHeight="1">
      <c r="B79" s="1526" t="s">
        <v>220</v>
      </c>
      <c r="C79" s="1177"/>
      <c r="D79" s="49">
        <v>6710</v>
      </c>
      <c r="E79" s="286" t="s">
        <v>949</v>
      </c>
      <c r="F79" s="1699"/>
      <c r="G79" s="286" t="s">
        <v>950</v>
      </c>
      <c r="H79" s="1699"/>
      <c r="I79" s="1099"/>
      <c r="J79" s="1523"/>
      <c r="K79" s="286" t="s">
        <v>2271</v>
      </c>
      <c r="L79" s="526">
        <f>F79*L$51</f>
        <v>0</v>
      </c>
      <c r="M79" s="286" t="s">
        <v>2297</v>
      </c>
      <c r="N79" s="511">
        <f>F79*N$51</f>
        <v>0</v>
      </c>
      <c r="O79" s="1031"/>
      <c r="P79" s="618" t="s">
        <v>59</v>
      </c>
      <c r="Q79" s="1162"/>
      <c r="R79" s="619" t="s">
        <v>423</v>
      </c>
    </row>
    <row r="80" spans="2:19" ht="22.5" customHeight="1">
      <c r="B80" s="1526" t="s">
        <v>221</v>
      </c>
      <c r="C80" s="1177"/>
      <c r="D80" s="49">
        <v>6711</v>
      </c>
      <c r="E80" s="286" t="s">
        <v>951</v>
      </c>
      <c r="F80" s="1699"/>
      <c r="G80" s="286" t="s">
        <v>952</v>
      </c>
      <c r="H80" s="1699"/>
      <c r="I80" s="1099"/>
      <c r="J80" s="1523"/>
      <c r="K80" s="286" t="s">
        <v>2272</v>
      </c>
      <c r="L80" s="1604">
        <f>IF(P80&lt;&gt;"", P80*F80, L$51*F80)</f>
        <v>0</v>
      </c>
      <c r="M80" s="286" t="s">
        <v>2298</v>
      </c>
      <c r="N80" s="1603">
        <f t="shared" ref="N80" si="200">F80-L80</f>
        <v>0</v>
      </c>
      <c r="O80" s="1020"/>
      <c r="P80" s="1630"/>
      <c r="Q80" s="1210"/>
      <c r="R80" s="482">
        <f>IF(P80&lt;&gt;"", 1-P80, N$21)</f>
        <v>0</v>
      </c>
    </row>
    <row r="81" spans="2:18" ht="22.5" customHeight="1">
      <c r="B81" s="1533" t="s">
        <v>222</v>
      </c>
      <c r="C81" s="1182"/>
      <c r="D81" s="51">
        <v>6719</v>
      </c>
      <c r="E81" s="286" t="s">
        <v>953</v>
      </c>
      <c r="F81" s="1699"/>
      <c r="G81" s="286" t="s">
        <v>954</v>
      </c>
      <c r="H81" s="1699"/>
      <c r="I81" s="1101"/>
      <c r="J81" s="1510"/>
      <c r="K81" s="286" t="s">
        <v>2273</v>
      </c>
      <c r="L81" s="526">
        <f>F81*L$51</f>
        <v>0</v>
      </c>
      <c r="M81" s="286" t="s">
        <v>2299</v>
      </c>
      <c r="N81" s="511">
        <f>F81*N$51</f>
        <v>0</v>
      </c>
      <c r="O81" s="1031"/>
    </row>
    <row r="82" spans="2:18" ht="13.8">
      <c r="B82" s="59" t="s">
        <v>223</v>
      </c>
      <c r="C82" s="994"/>
      <c r="D82" s="73"/>
      <c r="E82" s="1115"/>
      <c r="F82" s="62">
        <f>SUM(F79:F81)</f>
        <v>0</v>
      </c>
      <c r="G82" s="1071"/>
      <c r="H82" s="62">
        <f>SUM(H79:H81)</f>
        <v>0</v>
      </c>
      <c r="I82" s="1100"/>
      <c r="J82" s="62">
        <f>F82+H82</f>
        <v>0</v>
      </c>
      <c r="K82" s="1071"/>
      <c r="L82" s="1418">
        <f t="shared" ref="L82:N82" si="201">SUM(L79:L81)</f>
        <v>0</v>
      </c>
      <c r="M82" s="1071"/>
      <c r="N82" s="517">
        <f t="shared" si="201"/>
        <v>0</v>
      </c>
      <c r="O82" s="1033"/>
    </row>
    <row r="83" spans="2:18" ht="13.8">
      <c r="B83" s="1534" t="s">
        <v>224</v>
      </c>
      <c r="C83" s="1183"/>
      <c r="D83" s="993"/>
      <c r="E83" s="1147"/>
      <c r="F83" s="984"/>
      <c r="G83" s="1098"/>
      <c r="H83" s="984"/>
      <c r="I83" s="1098"/>
      <c r="J83" s="1522"/>
      <c r="K83" s="1098"/>
      <c r="L83" s="1605"/>
      <c r="M83" s="1098"/>
      <c r="N83" s="1606"/>
      <c r="O83" s="1038"/>
      <c r="P83" s="1895" t="s">
        <v>432</v>
      </c>
      <c r="Q83" s="1895"/>
      <c r="R83" s="1896"/>
    </row>
    <row r="84" spans="2:18" ht="14.25" customHeight="1">
      <c r="B84" s="1526" t="s">
        <v>225</v>
      </c>
      <c r="C84" s="1177"/>
      <c r="D84" s="49">
        <v>6720</v>
      </c>
      <c r="E84" s="286" t="s">
        <v>955</v>
      </c>
      <c r="F84" s="1699"/>
      <c r="G84" s="286" t="s">
        <v>956</v>
      </c>
      <c r="H84" s="1699"/>
      <c r="I84" s="1099"/>
      <c r="J84" s="1523"/>
      <c r="K84" s="286" t="s">
        <v>2274</v>
      </c>
      <c r="L84" s="526">
        <f>F84*L$51</f>
        <v>0</v>
      </c>
      <c r="M84" s="286" t="s">
        <v>2300</v>
      </c>
      <c r="N84" s="511">
        <f>F84*N$51</f>
        <v>0</v>
      </c>
      <c r="O84" s="1031"/>
      <c r="P84" s="1895"/>
      <c r="Q84" s="1895"/>
      <c r="R84" s="1896"/>
    </row>
    <row r="85" spans="2:18" ht="19.5" customHeight="1">
      <c r="B85" s="1526" t="s">
        <v>226</v>
      </c>
      <c r="C85" s="1177"/>
      <c r="D85" s="49">
        <v>6721</v>
      </c>
      <c r="E85" s="286" t="s">
        <v>957</v>
      </c>
      <c r="F85" s="1699"/>
      <c r="G85" s="286" t="s">
        <v>958</v>
      </c>
      <c r="H85" s="1699"/>
      <c r="I85" s="1099"/>
      <c r="J85" s="1523"/>
      <c r="K85" s="286" t="s">
        <v>2275</v>
      </c>
      <c r="L85" s="526">
        <f>F85*L$51</f>
        <v>0</v>
      </c>
      <c r="M85" s="286" t="s">
        <v>2301</v>
      </c>
      <c r="N85" s="511">
        <f>F85*N$51</f>
        <v>0</v>
      </c>
      <c r="O85" s="1031"/>
      <c r="P85" s="618" t="s">
        <v>59</v>
      </c>
      <c r="Q85" s="1162"/>
      <c r="R85" s="619" t="s">
        <v>423</v>
      </c>
    </row>
    <row r="86" spans="2:18" ht="19.5" customHeight="1">
      <c r="B86" s="1533" t="s">
        <v>430</v>
      </c>
      <c r="C86" s="1182"/>
      <c r="D86" s="51">
        <v>6722</v>
      </c>
      <c r="E86" s="286" t="s">
        <v>959</v>
      </c>
      <c r="F86" s="1699"/>
      <c r="G86" s="286" t="s">
        <v>960</v>
      </c>
      <c r="H86" s="1699"/>
      <c r="I86" s="1101"/>
      <c r="J86" s="1510"/>
      <c r="K86" s="286" t="s">
        <v>2276</v>
      </c>
      <c r="L86" s="1604">
        <f>IF(P86&lt;&gt;"", P86*F86, L$51*F86)</f>
        <v>0</v>
      </c>
      <c r="M86" s="286" t="s">
        <v>2302</v>
      </c>
      <c r="N86" s="1603">
        <f t="shared" ref="N86" si="202">F86-L86</f>
        <v>0</v>
      </c>
      <c r="O86" s="1020"/>
      <c r="P86" s="1630"/>
      <c r="Q86" s="1210"/>
      <c r="R86" s="482">
        <f>IF(P86&lt;&gt;"", 1-P86, N$21)</f>
        <v>0</v>
      </c>
    </row>
    <row r="87" spans="2:18" ht="19.5" customHeight="1">
      <c r="B87" s="1528" t="s">
        <v>1082</v>
      </c>
      <c r="C87" s="1179"/>
      <c r="D87" s="51">
        <v>6724</v>
      </c>
      <c r="E87" s="286" t="s">
        <v>961</v>
      </c>
      <c r="F87" s="1699"/>
      <c r="G87" s="286" t="s">
        <v>962</v>
      </c>
      <c r="H87" s="1699"/>
      <c r="I87" s="1101"/>
      <c r="J87" s="1510"/>
      <c r="K87" s="286" t="s">
        <v>2277</v>
      </c>
      <c r="L87" s="526">
        <f>F87*L$51</f>
        <v>0</v>
      </c>
      <c r="M87" s="286" t="s">
        <v>2303</v>
      </c>
      <c r="N87" s="511">
        <f>F87*N$51</f>
        <v>0</v>
      </c>
      <c r="O87" s="1031"/>
    </row>
    <row r="88" spans="2:18" ht="13.8">
      <c r="B88" s="59" t="s">
        <v>228</v>
      </c>
      <c r="C88" s="994"/>
      <c r="D88" s="73"/>
      <c r="E88" s="1115"/>
      <c r="F88" s="62">
        <f>SUM(F84:F87)</f>
        <v>0</v>
      </c>
      <c r="G88" s="1071"/>
      <c r="H88" s="62">
        <f>SUM(H84:H87)</f>
        <v>0</v>
      </c>
      <c r="I88" s="1100"/>
      <c r="J88" s="62">
        <f>F88+H88</f>
        <v>0</v>
      </c>
      <c r="K88" s="1058"/>
      <c r="L88" s="1418">
        <f t="shared" ref="L88:N88" si="203">SUM(L84:L87)</f>
        <v>0</v>
      </c>
      <c r="M88" s="1040"/>
      <c r="N88" s="517">
        <f t="shared" si="203"/>
        <v>0</v>
      </c>
      <c r="O88" s="1033"/>
    </row>
    <row r="89" spans="2:18" ht="13.8">
      <c r="B89" s="1534" t="s">
        <v>484</v>
      </c>
      <c r="C89" s="1183"/>
      <c r="D89" s="993"/>
      <c r="E89" s="1147"/>
      <c r="F89" s="984"/>
      <c r="G89" s="1098"/>
      <c r="H89" s="984"/>
      <c r="I89" s="1098"/>
      <c r="J89" s="1522"/>
      <c r="K89" s="1070"/>
      <c r="L89" s="527"/>
      <c r="M89" s="1038"/>
      <c r="N89" s="528"/>
      <c r="O89" s="1038"/>
    </row>
    <row r="90" spans="2:18" ht="42.75" customHeight="1">
      <c r="B90" s="1929" t="s">
        <v>1579</v>
      </c>
      <c r="C90" s="1930"/>
      <c r="D90" s="1930"/>
      <c r="E90" s="1930"/>
      <c r="F90" s="1930"/>
      <c r="G90" s="1930"/>
      <c r="H90" s="1930"/>
      <c r="I90" s="1930"/>
      <c r="J90" s="1931"/>
      <c r="K90" s="1072"/>
      <c r="L90" s="975" t="s">
        <v>59</v>
      </c>
      <c r="M90" s="1041"/>
      <c r="N90" s="976" t="s">
        <v>423</v>
      </c>
      <c r="O90" s="1041"/>
      <c r="P90" s="1938" t="s">
        <v>431</v>
      </c>
      <c r="Q90" s="1938"/>
      <c r="R90" s="1939"/>
    </row>
    <row r="91" spans="2:18" ht="21" customHeight="1">
      <c r="B91" s="1535" t="s">
        <v>229</v>
      </c>
      <c r="C91" s="1184"/>
      <c r="D91" s="49">
        <v>6510</v>
      </c>
      <c r="E91" s="286" t="s">
        <v>963</v>
      </c>
      <c r="F91" s="1699"/>
      <c r="G91" s="286" t="s">
        <v>964</v>
      </c>
      <c r="H91" s="1699"/>
      <c r="I91" s="1103"/>
      <c r="J91" s="1536"/>
      <c r="K91" s="286" t="s">
        <v>2304</v>
      </c>
      <c r="L91" s="526">
        <f>F91*L$51</f>
        <v>0</v>
      </c>
      <c r="M91" s="286" t="s">
        <v>2317</v>
      </c>
      <c r="N91" s="511">
        <f>F91*N$51</f>
        <v>0</v>
      </c>
      <c r="O91" s="1031"/>
      <c r="P91" s="618" t="s">
        <v>59</v>
      </c>
      <c r="Q91" s="1162"/>
      <c r="R91" s="619" t="s">
        <v>423</v>
      </c>
    </row>
    <row r="92" spans="2:18" ht="21" customHeight="1">
      <c r="B92" s="1526" t="s">
        <v>230</v>
      </c>
      <c r="C92" s="1177"/>
      <c r="D92" s="49">
        <v>6515</v>
      </c>
      <c r="E92" s="286" t="s">
        <v>965</v>
      </c>
      <c r="F92" s="1699"/>
      <c r="G92" s="286" t="s">
        <v>966</v>
      </c>
      <c r="H92" s="1699"/>
      <c r="I92" s="1099"/>
      <c r="J92" s="1523"/>
      <c r="K92" s="286" t="s">
        <v>2305</v>
      </c>
      <c r="L92" s="1602">
        <f>F92*L$51</f>
        <v>0</v>
      </c>
      <c r="M92" s="286" t="s">
        <v>2318</v>
      </c>
      <c r="N92" s="1603">
        <f>F92-L92</f>
        <v>0</v>
      </c>
      <c r="O92" s="1020"/>
      <c r="P92" s="490" t="str">
        <f>IF(F92&gt;0, L92/F92, "")</f>
        <v/>
      </c>
      <c r="Q92" s="1211"/>
      <c r="R92" s="481" t="str">
        <f>IF(F92&gt;0, N92/F92, "")</f>
        <v/>
      </c>
    </row>
    <row r="93" spans="2:18" ht="21" customHeight="1">
      <c r="B93" s="1526" t="s">
        <v>231</v>
      </c>
      <c r="C93" s="1177"/>
      <c r="D93" s="49">
        <v>6520</v>
      </c>
      <c r="E93" s="286" t="s">
        <v>967</v>
      </c>
      <c r="F93" s="1699"/>
      <c r="G93" s="286" t="s">
        <v>968</v>
      </c>
      <c r="H93" s="1699"/>
      <c r="I93" s="1099"/>
      <c r="J93" s="1523"/>
      <c r="K93" s="286" t="s">
        <v>2306</v>
      </c>
      <c r="L93" s="1604">
        <f>IF(P93&lt;&gt;"", P93*F93, L$51*F93)</f>
        <v>0</v>
      </c>
      <c r="M93" s="286" t="s">
        <v>2319</v>
      </c>
      <c r="N93" s="1603">
        <f t="shared" ref="N93:N95" si="204">F93-L93</f>
        <v>0</v>
      </c>
      <c r="O93" s="1020"/>
      <c r="P93" s="1630"/>
      <c r="Q93" s="1210"/>
      <c r="R93" s="482">
        <f>IF(P93&lt;&gt;"", 1-P93, N$21)</f>
        <v>0</v>
      </c>
    </row>
    <row r="94" spans="2:18" ht="21" customHeight="1">
      <c r="B94" s="1526" t="s">
        <v>232</v>
      </c>
      <c r="C94" s="1177"/>
      <c r="D94" s="49">
        <v>6525</v>
      </c>
      <c r="E94" s="286" t="s">
        <v>969</v>
      </c>
      <c r="F94" s="1699"/>
      <c r="G94" s="286" t="s">
        <v>970</v>
      </c>
      <c r="H94" s="1699"/>
      <c r="I94" s="1099"/>
      <c r="J94" s="1523"/>
      <c r="K94" s="286" t="s">
        <v>2307</v>
      </c>
      <c r="L94" s="526">
        <f>F94*L$51</f>
        <v>0</v>
      </c>
      <c r="M94" s="286" t="s">
        <v>2320</v>
      </c>
      <c r="N94" s="511">
        <f>F94*N$51</f>
        <v>0</v>
      </c>
      <c r="O94" s="1031"/>
      <c r="P94" s="1897" t="s">
        <v>1349</v>
      </c>
      <c r="Q94" s="1898"/>
      <c r="R94" s="1899"/>
    </row>
    <row r="95" spans="2:18" ht="21" customHeight="1">
      <c r="B95" s="1526" t="s">
        <v>233</v>
      </c>
      <c r="C95" s="1177"/>
      <c r="D95" s="49">
        <v>6530</v>
      </c>
      <c r="E95" s="286" t="s">
        <v>971</v>
      </c>
      <c r="F95" s="1699"/>
      <c r="G95" s="286" t="s">
        <v>972</v>
      </c>
      <c r="H95" s="1699"/>
      <c r="I95" s="1099"/>
      <c r="J95" s="1523"/>
      <c r="K95" s="286" t="s">
        <v>2308</v>
      </c>
      <c r="L95" s="1604">
        <f>IF(P95&lt;&gt;"", P95*F95, L$51*F95)</f>
        <v>0</v>
      </c>
      <c r="M95" s="286" t="s">
        <v>2321</v>
      </c>
      <c r="N95" s="1603">
        <f t="shared" si="204"/>
        <v>0</v>
      </c>
      <c r="O95" s="1020"/>
      <c r="P95" s="1630"/>
      <c r="Q95" s="1210"/>
      <c r="R95" s="482">
        <f>IF(P95&lt;&gt;"", 1-P95, N$21)</f>
        <v>0</v>
      </c>
    </row>
    <row r="96" spans="2:18" ht="21" customHeight="1">
      <c r="B96" s="1526" t="s">
        <v>234</v>
      </c>
      <c r="C96" s="1177"/>
      <c r="D96" s="49">
        <v>6546</v>
      </c>
      <c r="E96" s="286" t="s">
        <v>973</v>
      </c>
      <c r="F96" s="1699"/>
      <c r="G96" s="286" t="s">
        <v>974</v>
      </c>
      <c r="H96" s="1699"/>
      <c r="I96" s="1099"/>
      <c r="J96" s="1523"/>
      <c r="K96" s="286" t="s">
        <v>2309</v>
      </c>
      <c r="L96" s="526">
        <f>F96*L$51</f>
        <v>0</v>
      </c>
      <c r="M96" s="286" t="s">
        <v>2322</v>
      </c>
      <c r="N96" s="511">
        <f>F96*N$51</f>
        <v>0</v>
      </c>
      <c r="O96" s="1031"/>
    </row>
    <row r="97" spans="2:19" ht="21" customHeight="1">
      <c r="B97" s="1526" t="s">
        <v>235</v>
      </c>
      <c r="C97" s="1177"/>
      <c r="D97" s="49">
        <v>6570</v>
      </c>
      <c r="E97" s="286" t="s">
        <v>975</v>
      </c>
      <c r="F97" s="1699"/>
      <c r="G97" s="286" t="s">
        <v>976</v>
      </c>
      <c r="H97" s="1699"/>
      <c r="I97" s="1099"/>
      <c r="J97" s="1523"/>
      <c r="K97" s="286" t="s">
        <v>2310</v>
      </c>
      <c r="L97" s="526">
        <f>F97*L$51</f>
        <v>0</v>
      </c>
      <c r="M97" s="286" t="s">
        <v>2323</v>
      </c>
      <c r="N97" s="511">
        <f>F97*N$51</f>
        <v>0</v>
      </c>
      <c r="O97" s="1031"/>
    </row>
    <row r="98" spans="2:19" ht="21" customHeight="1">
      <c r="B98" s="1531" t="s">
        <v>1106</v>
      </c>
      <c r="C98" s="1181"/>
      <c r="D98" s="51">
        <v>6590</v>
      </c>
      <c r="E98" s="286" t="s">
        <v>977</v>
      </c>
      <c r="F98" s="1699"/>
      <c r="G98" s="286" t="s">
        <v>978</v>
      </c>
      <c r="H98" s="1699"/>
      <c r="I98" s="1101"/>
      <c r="J98" s="1510"/>
      <c r="K98" s="286" t="s">
        <v>2311</v>
      </c>
      <c r="L98" s="526">
        <f>F98*L$51</f>
        <v>0</v>
      </c>
      <c r="M98" s="286" t="s">
        <v>2324</v>
      </c>
      <c r="N98" s="511">
        <f>F98*N$51</f>
        <v>0</v>
      </c>
      <c r="O98" s="1031"/>
      <c r="P98" s="1895" t="s">
        <v>432</v>
      </c>
      <c r="Q98" s="1895"/>
      <c r="R98" s="1896"/>
    </row>
    <row r="99" spans="2:19" ht="13.8">
      <c r="B99" s="227" t="s">
        <v>72</v>
      </c>
      <c r="C99" s="1185"/>
      <c r="D99" s="73"/>
      <c r="E99" s="1115"/>
      <c r="F99" s="62">
        <f>SUM(F91:F98)</f>
        <v>0</v>
      </c>
      <c r="G99" s="1071"/>
      <c r="H99" s="62">
        <f>SUM(H91:H98)</f>
        <v>0</v>
      </c>
      <c r="I99" s="1100"/>
      <c r="J99" s="62">
        <f>F99+H99</f>
        <v>0</v>
      </c>
      <c r="K99" s="1071"/>
      <c r="L99" s="1418">
        <f t="shared" ref="L99:N99" si="205">SUM(L91:L98)</f>
        <v>0</v>
      </c>
      <c r="M99" s="1071"/>
      <c r="N99" s="520">
        <f t="shared" si="205"/>
        <v>0</v>
      </c>
      <c r="O99" s="1040"/>
      <c r="P99" s="1895"/>
      <c r="Q99" s="1895"/>
      <c r="R99" s="1896"/>
    </row>
    <row r="100" spans="2:19" ht="40.200000000000003">
      <c r="B100" s="1537" t="s">
        <v>74</v>
      </c>
      <c r="C100" s="746"/>
      <c r="D100" s="64">
        <v>6930</v>
      </c>
      <c r="E100" s="286" t="s">
        <v>979</v>
      </c>
      <c r="F100" s="1699"/>
      <c r="G100" s="286" t="s">
        <v>980</v>
      </c>
      <c r="H100" s="1699"/>
      <c r="I100" s="1104"/>
      <c r="J100" s="1538"/>
      <c r="K100" s="286" t="s">
        <v>2312</v>
      </c>
      <c r="L100" s="1604">
        <f>IF(P100&lt;&gt;"", P100*F100, L$51*F100)</f>
        <v>0</v>
      </c>
      <c r="M100" s="286" t="s">
        <v>2325</v>
      </c>
      <c r="N100" s="531">
        <f>F100-L100</f>
        <v>0</v>
      </c>
      <c r="O100" s="1020"/>
      <c r="P100" s="1630"/>
      <c r="Q100" s="1210"/>
      <c r="R100" s="482">
        <f>IF(P100&lt;&gt;"", 1-P100, N$21)</f>
        <v>0</v>
      </c>
    </row>
    <row r="101" spans="2:19" ht="19.5" customHeight="1">
      <c r="B101" s="227" t="s">
        <v>73</v>
      </c>
      <c r="C101" s="1185"/>
      <c r="D101" s="73"/>
      <c r="E101" s="286" t="s">
        <v>981</v>
      </c>
      <c r="F101" s="62">
        <f>F100+F99+F88+F77+F82+F71+F61+F54</f>
        <v>0</v>
      </c>
      <c r="G101" s="286" t="s">
        <v>982</v>
      </c>
      <c r="H101" s="62">
        <f>H100+H99+H88+H82+H77+H71+H61+H54</f>
        <v>0</v>
      </c>
      <c r="I101" s="286" t="s">
        <v>983</v>
      </c>
      <c r="J101" s="62">
        <f>F101+H101</f>
        <v>0</v>
      </c>
      <c r="K101" s="286" t="s">
        <v>2313</v>
      </c>
      <c r="L101" s="1418">
        <f t="shared" ref="L101:N101" si="206">L100+L99+L88+L82+L77+L71+L61+L54</f>
        <v>0</v>
      </c>
      <c r="M101" s="286" t="s">
        <v>2326</v>
      </c>
      <c r="N101" s="517">
        <f t="shared" si="206"/>
        <v>0</v>
      </c>
      <c r="O101" s="1040"/>
      <c r="P101" s="618" t="s">
        <v>59</v>
      </c>
      <c r="Q101" s="1162"/>
      <c r="R101" s="619" t="s">
        <v>423</v>
      </c>
    </row>
    <row r="102" spans="2:19" ht="81" customHeight="1">
      <c r="B102" s="1539" t="s">
        <v>1430</v>
      </c>
      <c r="C102" s="746"/>
      <c r="D102" s="287"/>
      <c r="E102" s="1002" t="s">
        <v>1054</v>
      </c>
      <c r="F102" s="747">
        <f>$F$217</f>
        <v>0</v>
      </c>
      <c r="G102" s="747"/>
      <c r="H102" s="717"/>
      <c r="I102" s="1105"/>
      <c r="J102" s="1538"/>
      <c r="K102" s="1004" t="s">
        <v>2314</v>
      </c>
      <c r="L102" s="530">
        <f>F102*L$51</f>
        <v>0</v>
      </c>
      <c r="M102" s="1004" t="s">
        <v>2327</v>
      </c>
      <c r="N102" s="531">
        <f>F102*N$51</f>
        <v>0</v>
      </c>
      <c r="O102" s="1031"/>
      <c r="P102" s="1938" t="s">
        <v>431</v>
      </c>
      <c r="Q102" s="1938"/>
      <c r="R102" s="1939"/>
    </row>
    <row r="103" spans="2:19" ht="68.25" customHeight="1">
      <c r="B103" s="1540" t="s">
        <v>1431</v>
      </c>
      <c r="C103" s="746"/>
      <c r="D103" s="718"/>
      <c r="E103" s="286" t="s">
        <v>8</v>
      </c>
      <c r="F103" s="1699"/>
      <c r="G103" s="1129"/>
      <c r="H103" s="718"/>
      <c r="I103" s="1106"/>
      <c r="J103" s="1538"/>
      <c r="K103" s="286" t="s">
        <v>2315</v>
      </c>
      <c r="L103" s="1602">
        <f>F103*L$51</f>
        <v>0</v>
      </c>
      <c r="M103" s="286" t="s">
        <v>2412</v>
      </c>
      <c r="N103" s="531">
        <f>F103*N$51</f>
        <v>0</v>
      </c>
      <c r="O103" s="1031"/>
      <c r="P103" s="490" t="str">
        <f>IF(F103&gt;0, L103/F103, "")</f>
        <v/>
      </c>
      <c r="Q103" s="1211"/>
      <c r="R103" s="481" t="str">
        <f>IF(F103&gt;0, N103/F103, "")</f>
        <v/>
      </c>
    </row>
    <row r="104" spans="2:19" ht="27.6">
      <c r="B104" s="227" t="s">
        <v>70</v>
      </c>
      <c r="C104" s="1185"/>
      <c r="D104" s="73"/>
      <c r="E104" s="286" t="s">
        <v>9</v>
      </c>
      <c r="F104" s="62">
        <f>F101-F102-F103</f>
        <v>0</v>
      </c>
      <c r="G104" s="1001" t="s">
        <v>10</v>
      </c>
      <c r="H104" s="61">
        <f>H101</f>
        <v>0</v>
      </c>
      <c r="I104" s="1001" t="s">
        <v>11</v>
      </c>
      <c r="J104" s="62">
        <f>F104+H104</f>
        <v>0</v>
      </c>
      <c r="K104" s="286" t="s">
        <v>2316</v>
      </c>
      <c r="L104" s="1607">
        <f>L101-L102-L103</f>
        <v>0</v>
      </c>
      <c r="M104" s="286" t="s">
        <v>2328</v>
      </c>
      <c r="N104" s="517">
        <f>N101-N102-N103</f>
        <v>0</v>
      </c>
      <c r="O104" s="1033"/>
    </row>
    <row r="105" spans="2:19" ht="13.8">
      <c r="B105" s="1541"/>
      <c r="C105" s="996"/>
      <c r="D105" s="4"/>
      <c r="E105" s="83"/>
      <c r="F105" s="74"/>
      <c r="G105" s="1073"/>
      <c r="H105" s="74"/>
      <c r="I105" s="1073"/>
      <c r="J105" s="1542"/>
      <c r="K105" s="1073"/>
      <c r="L105" s="532"/>
      <c r="M105" s="1021"/>
      <c r="N105" s="533"/>
      <c r="O105" s="1021"/>
    </row>
    <row r="106" spans="2:19" ht="52.8">
      <c r="B106" s="1598" t="s">
        <v>2205</v>
      </c>
      <c r="C106" s="996"/>
      <c r="D106" s="558" t="s">
        <v>2210</v>
      </c>
      <c r="E106" s="83"/>
      <c r="F106" s="74"/>
      <c r="G106" s="1073"/>
      <c r="H106" s="74"/>
      <c r="I106" s="1073"/>
      <c r="J106" s="1542"/>
      <c r="K106" s="1073"/>
      <c r="L106" s="1422" t="s">
        <v>59</v>
      </c>
      <c r="M106" s="1060"/>
      <c r="N106" s="1423" t="s">
        <v>423</v>
      </c>
      <c r="O106" s="1044"/>
      <c r="P106" s="618" t="s">
        <v>59</v>
      </c>
      <c r="Q106" s="1162"/>
      <c r="R106" s="619" t="s">
        <v>423</v>
      </c>
    </row>
    <row r="107" spans="2:19" ht="18" customHeight="1">
      <c r="B107" s="1617" t="s">
        <v>448</v>
      </c>
      <c r="C107" s="286" t="s">
        <v>1050</v>
      </c>
      <c r="D107" s="1700"/>
      <c r="E107" s="286" t="s">
        <v>1051</v>
      </c>
      <c r="F107" s="1700"/>
      <c r="G107" s="286" t="s">
        <v>1052</v>
      </c>
      <c r="H107" s="1700"/>
      <c r="I107" s="1093"/>
      <c r="J107" s="1619">
        <f t="shared" ref="J107:J113" si="207">H107+F107</f>
        <v>0</v>
      </c>
      <c r="K107" s="286" t="s">
        <v>2329</v>
      </c>
      <c r="L107" s="1604">
        <f>IF(P107&lt;&gt;"", P107*F107, L$51*F107)</f>
        <v>0</v>
      </c>
      <c r="M107" s="286" t="s">
        <v>2330</v>
      </c>
      <c r="N107" s="531">
        <f t="shared" ref="N107" si="208">F107-L107</f>
        <v>0</v>
      </c>
      <c r="O107" s="1031"/>
      <c r="P107" s="1630"/>
      <c r="Q107" s="1210"/>
      <c r="R107" s="482">
        <f>IF(P107&lt;&gt;"", 1-P107, N$21)</f>
        <v>0</v>
      </c>
      <c r="S107" s="109"/>
    </row>
    <row r="108" spans="2:19" ht="14.4">
      <c r="B108" s="1617" t="s">
        <v>1268</v>
      </c>
      <c r="C108" s="1618" t="s">
        <v>2173</v>
      </c>
      <c r="D108" s="1700"/>
      <c r="E108" s="1618" t="s">
        <v>2174</v>
      </c>
      <c r="F108" s="1700"/>
      <c r="G108" s="1618" t="s">
        <v>2175</v>
      </c>
      <c r="H108" s="1700"/>
      <c r="I108" s="1093"/>
      <c r="J108" s="1619">
        <f t="shared" si="207"/>
        <v>0</v>
      </c>
      <c r="K108" s="1670" t="s">
        <v>2418</v>
      </c>
      <c r="L108" s="1604">
        <f>IF(P108&lt;&gt;"", P108*F108, L$51*F108)</f>
        <v>0</v>
      </c>
      <c r="M108" s="1670" t="s">
        <v>2419</v>
      </c>
      <c r="N108" s="531">
        <f>F108-L108</f>
        <v>0</v>
      </c>
      <c r="O108" s="1031"/>
      <c r="P108" s="1630"/>
      <c r="Q108" s="1210"/>
      <c r="R108" s="482">
        <f>IF(P108&lt;&gt;"", 1-P108, N$21)</f>
        <v>0</v>
      </c>
      <c r="S108" s="109"/>
    </row>
    <row r="109" spans="2:19" ht="31.5" customHeight="1">
      <c r="B109" s="1555" t="s">
        <v>1432</v>
      </c>
      <c r="C109" s="1189"/>
      <c r="D109" s="1701">
        <v>1320</v>
      </c>
      <c r="E109" s="286" t="s">
        <v>897</v>
      </c>
      <c r="F109" s="1699"/>
      <c r="G109" s="286" t="s">
        <v>898</v>
      </c>
      <c r="H109" s="1700"/>
      <c r="I109" s="466"/>
      <c r="J109" s="1619">
        <f t="shared" si="207"/>
        <v>0</v>
      </c>
      <c r="K109" s="286" t="s">
        <v>2331</v>
      </c>
      <c r="L109" s="1608">
        <f>IF(P109&lt;&gt;"", P109*F109, L$51*F109)</f>
        <v>0</v>
      </c>
      <c r="M109" s="286" t="s">
        <v>2336</v>
      </c>
      <c r="N109" s="531">
        <f t="shared" ref="N109:N112" si="209">F109-L109</f>
        <v>0</v>
      </c>
      <c r="O109" s="1031"/>
      <c r="P109" s="1630"/>
      <c r="Q109" s="1210"/>
      <c r="R109" s="482">
        <f>IF(P109&lt;&gt;"", 1-P109, N$21)</f>
        <v>0</v>
      </c>
      <c r="S109" s="133"/>
    </row>
    <row r="110" spans="2:19" ht="31.5" customHeight="1">
      <c r="B110" s="1617" t="s">
        <v>1433</v>
      </c>
      <c r="C110" s="54"/>
      <c r="D110" s="1701">
        <v>1365</v>
      </c>
      <c r="E110" s="286" t="s">
        <v>899</v>
      </c>
      <c r="F110" s="1699"/>
      <c r="G110" s="286" t="s">
        <v>900</v>
      </c>
      <c r="H110" s="1700"/>
      <c r="I110" s="466"/>
      <c r="J110" s="1619">
        <f t="shared" si="207"/>
        <v>0</v>
      </c>
      <c r="K110" s="286" t="s">
        <v>2332</v>
      </c>
      <c r="L110" s="1604">
        <f>IF(P110&lt;&gt;"", P110*F110, L$51*F110)</f>
        <v>0</v>
      </c>
      <c r="M110" s="286" t="s">
        <v>2337</v>
      </c>
      <c r="N110" s="531">
        <f t="shared" si="209"/>
        <v>0</v>
      </c>
      <c r="O110" s="1031"/>
      <c r="P110" s="1630"/>
      <c r="Q110" s="1210"/>
      <c r="R110" s="482">
        <f>IF(P110&lt;&gt;"", 1-P110, N$21)</f>
        <v>0</v>
      </c>
      <c r="S110" s="133"/>
    </row>
    <row r="111" spans="2:19" ht="31.5" customHeight="1">
      <c r="B111" s="1555" t="s">
        <v>1510</v>
      </c>
      <c r="C111" s="1169"/>
      <c r="D111" s="1702"/>
      <c r="E111" s="286" t="s">
        <v>901</v>
      </c>
      <c r="F111" s="1699"/>
      <c r="G111" s="286" t="s">
        <v>902</v>
      </c>
      <c r="H111" s="1700"/>
      <c r="I111" s="834"/>
      <c r="J111" s="1619">
        <f t="shared" si="207"/>
        <v>0</v>
      </c>
      <c r="K111" s="286" t="s">
        <v>2333</v>
      </c>
      <c r="L111" s="1604">
        <f>IF(P111&lt;&gt;"", P111*F111, L$51*F111)</f>
        <v>0</v>
      </c>
      <c r="M111" s="286" t="s">
        <v>2338</v>
      </c>
      <c r="N111" s="531">
        <f t="shared" si="209"/>
        <v>0</v>
      </c>
      <c r="O111" s="1031"/>
      <c r="P111" s="1630"/>
      <c r="Q111" s="1210"/>
      <c r="R111" s="482">
        <f>IF(P111&lt;&gt;"", 1-P111, N$21)</f>
        <v>0</v>
      </c>
      <c r="S111" s="133"/>
    </row>
    <row r="112" spans="2:19" ht="31.5" customHeight="1">
      <c r="B112" s="1620" t="s">
        <v>1434</v>
      </c>
      <c r="C112" s="286" t="s">
        <v>903</v>
      </c>
      <c r="D112" s="1699"/>
      <c r="E112" s="286" t="s">
        <v>904</v>
      </c>
      <c r="F112" s="1699"/>
      <c r="G112" s="286" t="s">
        <v>905</v>
      </c>
      <c r="H112" s="1700"/>
      <c r="I112" s="834"/>
      <c r="J112" s="1619">
        <f t="shared" si="207"/>
        <v>0</v>
      </c>
      <c r="K112" s="286" t="s">
        <v>2334</v>
      </c>
      <c r="L112" s="515">
        <f>F112*L$51</f>
        <v>0</v>
      </c>
      <c r="M112" s="286" t="s">
        <v>2339</v>
      </c>
      <c r="N112" s="531">
        <f t="shared" si="209"/>
        <v>0</v>
      </c>
      <c r="O112" s="1031"/>
      <c r="P112" s="1938" t="s">
        <v>431</v>
      </c>
      <c r="Q112" s="1938"/>
      <c r="R112" s="1939"/>
      <c r="S112" s="133"/>
    </row>
    <row r="113" spans="1:182" ht="31.5" customHeight="1">
      <c r="B113" s="1620" t="s">
        <v>1509</v>
      </c>
      <c r="C113" s="286" t="s">
        <v>1009</v>
      </c>
      <c r="D113" s="1699"/>
      <c r="E113" s="286" t="s">
        <v>906</v>
      </c>
      <c r="F113" s="1699"/>
      <c r="G113" s="286" t="s">
        <v>907</v>
      </c>
      <c r="H113" s="1700"/>
      <c r="I113" s="834"/>
      <c r="J113" s="1619">
        <f t="shared" si="207"/>
        <v>0</v>
      </c>
      <c r="K113" s="286" t="s">
        <v>2335</v>
      </c>
      <c r="L113" s="1602">
        <f>F113*L$51</f>
        <v>0</v>
      </c>
      <c r="M113" s="286" t="s">
        <v>2340</v>
      </c>
      <c r="N113" s="1603">
        <f>F113-L113</f>
        <v>0</v>
      </c>
      <c r="O113" s="1020"/>
      <c r="P113" s="490" t="str">
        <f>IF(F113&gt;0, L113/F113, "")</f>
        <v/>
      </c>
      <c r="Q113" s="1211"/>
      <c r="R113" s="481" t="str">
        <f>IF(F113&gt;0, N113/F113, "")</f>
        <v/>
      </c>
      <c r="S113" s="133"/>
    </row>
    <row r="114" spans="1:182" ht="13.8">
      <c r="B114" s="1621" t="s">
        <v>2206</v>
      </c>
      <c r="C114" s="1190"/>
      <c r="D114" s="1622"/>
      <c r="E114" s="1145"/>
      <c r="F114" s="141">
        <f>SUM(F107:F110,F112)-F111-F113</f>
        <v>0</v>
      </c>
      <c r="G114" s="141"/>
      <c r="H114" s="141">
        <f>SUM(H107:H110,H112)-H111-H113</f>
        <v>0</v>
      </c>
      <c r="I114" s="141"/>
      <c r="J114" s="141">
        <f>F114+H114</f>
        <v>0</v>
      </c>
      <c r="K114" s="1018"/>
      <c r="L114" s="141">
        <f>SUM(L107:L110,L112)-L111-L113</f>
        <v>0</v>
      </c>
      <c r="M114" s="1040"/>
      <c r="N114" s="141">
        <f>SUM(N107:N110,N112)-N111-N113</f>
        <v>0</v>
      </c>
      <c r="O114" s="1040"/>
      <c r="P114" s="618" t="s">
        <v>59</v>
      </c>
      <c r="Q114" s="1162"/>
      <c r="R114" s="619" t="s">
        <v>423</v>
      </c>
      <c r="S114" s="109"/>
    </row>
    <row r="115" spans="1:182" ht="13.8">
      <c r="B115" s="1601"/>
      <c r="C115" s="1599"/>
      <c r="D115" s="1623"/>
      <c r="E115" s="1152"/>
      <c r="F115" s="1075"/>
      <c r="G115" s="1075"/>
      <c r="H115" s="1075"/>
      <c r="I115" s="1075"/>
      <c r="J115" s="1624"/>
      <c r="K115" s="1075"/>
      <c r="L115" s="536"/>
      <c r="M115" s="1061"/>
      <c r="N115" s="537"/>
      <c r="O115" s="1033"/>
      <c r="P115" s="1600"/>
      <c r="Q115" s="83"/>
      <c r="R115" s="1600"/>
      <c r="S115" s="109"/>
    </row>
    <row r="116" spans="1:182" ht="23.25" customHeight="1">
      <c r="B116" s="227" t="s">
        <v>2207</v>
      </c>
      <c r="C116" s="1185"/>
      <c r="D116" s="73"/>
      <c r="E116" s="286"/>
      <c r="F116" s="62">
        <f>F104+F114</f>
        <v>0</v>
      </c>
      <c r="G116" s="1001"/>
      <c r="H116" s="62">
        <f>H104+H114</f>
        <v>0</v>
      </c>
      <c r="I116" s="1001"/>
      <c r="J116" s="62">
        <f>J104+J114</f>
        <v>0</v>
      </c>
      <c r="K116" s="1058"/>
      <c r="L116" s="62">
        <f>L104+L114</f>
        <v>0</v>
      </c>
      <c r="M116" s="1058"/>
      <c r="N116" s="62">
        <f>N104+N114</f>
        <v>0</v>
      </c>
      <c r="O116" s="1033"/>
      <c r="S116" s="109"/>
    </row>
    <row r="117" spans="1:182" ht="13.8">
      <c r="B117" s="1541"/>
      <c r="C117" s="996"/>
      <c r="D117" s="269" t="s">
        <v>68</v>
      </c>
      <c r="E117" s="1149"/>
      <c r="F117" s="43" t="str">
        <f>F50</f>
        <v>Residential</v>
      </c>
      <c r="G117" s="1122"/>
      <c r="H117" s="43" t="str">
        <f>H50</f>
        <v>Non-Residential</v>
      </c>
      <c r="I117" s="1068"/>
      <c r="J117" s="1493" t="str">
        <f>J50</f>
        <v>Total</v>
      </c>
      <c r="K117" s="1068"/>
      <c r="L117" s="534"/>
      <c r="M117" s="1036"/>
      <c r="N117" s="535"/>
      <c r="O117" s="1036"/>
    </row>
    <row r="118" spans="1:182" ht="13.8">
      <c r="B118" s="1496" t="s">
        <v>0</v>
      </c>
      <c r="C118" s="1168"/>
      <c r="D118" s="289"/>
      <c r="E118" s="1146"/>
      <c r="F118" s="134">
        <f>F46</f>
        <v>0</v>
      </c>
      <c r="G118" s="141"/>
      <c r="H118" s="134">
        <f>H46</f>
        <v>0</v>
      </c>
      <c r="I118" s="141"/>
      <c r="J118" s="134">
        <f>J46</f>
        <v>0</v>
      </c>
      <c r="K118" s="1018"/>
      <c r="L118" s="1418">
        <f>L46</f>
        <v>0</v>
      </c>
      <c r="M118" s="1040"/>
      <c r="N118" s="520">
        <f>N46</f>
        <v>0</v>
      </c>
      <c r="O118" s="1033"/>
      <c r="S118" s="109"/>
    </row>
    <row r="119" spans="1:182" s="3" customFormat="1" ht="13.8">
      <c r="A119"/>
      <c r="B119" s="1496" t="s">
        <v>1</v>
      </c>
      <c r="C119" s="1168"/>
      <c r="D119" s="289"/>
      <c r="E119" s="1146"/>
      <c r="F119" s="1107">
        <f>F116</f>
        <v>0</v>
      </c>
      <c r="G119" s="1107"/>
      <c r="H119" s="135">
        <f t="shared" ref="H119:I119" si="210">H116</f>
        <v>0</v>
      </c>
      <c r="I119" s="1107">
        <f t="shared" si="210"/>
        <v>0</v>
      </c>
      <c r="J119" s="135">
        <f>J116</f>
        <v>0</v>
      </c>
      <c r="K119" s="1415"/>
      <c r="L119" s="1418">
        <f>L116</f>
        <v>0</v>
      </c>
      <c r="M119" s="1040"/>
      <c r="N119" s="520">
        <f>N116</f>
        <v>0</v>
      </c>
      <c r="O119" s="1033"/>
      <c r="P119"/>
      <c r="Q119" s="19"/>
      <c r="R119"/>
      <c r="T119" s="172">
        <v>2.2999999999999998</v>
      </c>
      <c r="U119"/>
      <c r="V119"/>
      <c r="W119"/>
      <c r="X119"/>
      <c r="FZ119" s="415"/>
    </row>
    <row r="120" spans="1:182" ht="15" thickBot="1">
      <c r="B120" s="1496" t="s">
        <v>2</v>
      </c>
      <c r="C120" s="1168"/>
      <c r="D120" s="289"/>
      <c r="E120" s="1632" t="s">
        <v>2232</v>
      </c>
      <c r="F120" s="134">
        <f>F118-F119</f>
        <v>0</v>
      </c>
      <c r="G120" s="1632" t="s">
        <v>2233</v>
      </c>
      <c r="H120" s="134">
        <f>H118-H119</f>
        <v>0</v>
      </c>
      <c r="I120" s="1632" t="s">
        <v>2234</v>
      </c>
      <c r="J120" s="134">
        <f>J118-J119</f>
        <v>0</v>
      </c>
      <c r="K120" s="286" t="s">
        <v>2341</v>
      </c>
      <c r="L120" s="1418">
        <f>L118-L119</f>
        <v>0</v>
      </c>
      <c r="M120" s="286" t="s">
        <v>2342</v>
      </c>
      <c r="N120" s="520">
        <f>N118-N119</f>
        <v>0</v>
      </c>
      <c r="O120" s="1040"/>
      <c r="P120" s="1895" t="s">
        <v>432</v>
      </c>
      <c r="Q120" s="1895"/>
      <c r="R120" s="1896"/>
      <c r="S120" s="109"/>
    </row>
    <row r="121" spans="1:182" ht="13.8">
      <c r="B121" s="1507"/>
      <c r="C121" s="1165"/>
      <c r="D121" s="56"/>
      <c r="E121" s="1146"/>
      <c r="F121" s="57"/>
      <c r="G121" s="1027"/>
      <c r="H121" s="57"/>
      <c r="I121" s="1027"/>
      <c r="J121" s="1508"/>
      <c r="K121" s="1027"/>
      <c r="L121" s="1923" t="s">
        <v>422</v>
      </c>
      <c r="M121" s="1924"/>
      <c r="N121" s="1925"/>
      <c r="O121" s="1036"/>
      <c r="P121" s="1895"/>
      <c r="Q121" s="1895"/>
      <c r="R121" s="1896"/>
      <c r="S121" s="109"/>
    </row>
    <row r="122" spans="1:182" ht="39.6">
      <c r="B122" s="1496" t="s">
        <v>2208</v>
      </c>
      <c r="C122" s="53"/>
      <c r="D122" s="558" t="s">
        <v>2209</v>
      </c>
      <c r="E122" s="1150"/>
      <c r="F122" s="43" t="str">
        <f>F50</f>
        <v>Residential</v>
      </c>
      <c r="G122" s="1122"/>
      <c r="H122" s="43" t="str">
        <f>H50</f>
        <v>Non-Residential</v>
      </c>
      <c r="I122" s="1068"/>
      <c r="J122" s="1493" t="str">
        <f>J50</f>
        <v>Total</v>
      </c>
      <c r="K122" s="1068"/>
      <c r="L122" s="523" t="s">
        <v>59</v>
      </c>
      <c r="M122" s="1042"/>
      <c r="N122" s="524" t="s">
        <v>423</v>
      </c>
      <c r="O122" s="1042"/>
      <c r="P122" s="618" t="s">
        <v>59</v>
      </c>
      <c r="Q122" s="1162"/>
      <c r="R122" s="619" t="s">
        <v>423</v>
      </c>
      <c r="S122" s="109"/>
    </row>
    <row r="123" spans="1:182" ht="18.75" customHeight="1">
      <c r="B123" s="1543" t="s">
        <v>20</v>
      </c>
      <c r="C123" s="286" t="s">
        <v>880</v>
      </c>
      <c r="D123" s="1699"/>
      <c r="E123" s="286" t="s">
        <v>881</v>
      </c>
      <c r="F123" s="1699"/>
      <c r="G123" s="286" t="s">
        <v>882</v>
      </c>
      <c r="H123" s="1699"/>
      <c r="I123" s="1093"/>
      <c r="J123" s="1512"/>
      <c r="K123" s="286" t="s">
        <v>2343</v>
      </c>
      <c r="L123" s="1604">
        <f t="shared" ref="L123:L134" si="211">IF(P123&lt;&gt;"", P123*F123, L$51*F123)</f>
        <v>0</v>
      </c>
      <c r="M123" s="286" t="s">
        <v>2356</v>
      </c>
      <c r="N123" s="531">
        <f t="shared" ref="N123:N134" si="212">F123-L123</f>
        <v>0</v>
      </c>
      <c r="O123" s="1031"/>
      <c r="P123" s="1630"/>
      <c r="Q123" s="1210"/>
      <c r="R123" s="482">
        <f t="shared" ref="R123:R134" si="213">IF(P123&lt;&gt;"", 1-P123, N$21)</f>
        <v>0</v>
      </c>
      <c r="S123" s="109"/>
    </row>
    <row r="124" spans="1:182" ht="18.75" customHeight="1">
      <c r="B124" s="1543" t="s">
        <v>18</v>
      </c>
      <c r="C124" s="1186"/>
      <c r="D124" s="1703"/>
      <c r="E124" s="286" t="s">
        <v>883</v>
      </c>
      <c r="F124" s="1699"/>
      <c r="G124" s="286" t="s">
        <v>884</v>
      </c>
      <c r="H124" s="1699"/>
      <c r="I124" s="1093"/>
      <c r="J124" s="1512"/>
      <c r="K124" s="286" t="s">
        <v>2344</v>
      </c>
      <c r="L124" s="1604">
        <f t="shared" si="211"/>
        <v>0</v>
      </c>
      <c r="M124" s="286" t="s">
        <v>2357</v>
      </c>
      <c r="N124" s="531">
        <f t="shared" si="212"/>
        <v>0</v>
      </c>
      <c r="O124" s="1031"/>
      <c r="P124" s="1630"/>
      <c r="Q124" s="1210"/>
      <c r="R124" s="482">
        <f t="shared" si="213"/>
        <v>0</v>
      </c>
      <c r="S124" s="109"/>
    </row>
    <row r="125" spans="1:182" ht="18.75" customHeight="1">
      <c r="B125" s="1544" t="s">
        <v>19</v>
      </c>
      <c r="C125" s="286" t="s">
        <v>12</v>
      </c>
      <c r="D125" s="1700"/>
      <c r="E125" s="286" t="s">
        <v>13</v>
      </c>
      <c r="F125" s="1700"/>
      <c r="G125" s="286" t="s">
        <v>14</v>
      </c>
      <c r="H125" s="1700"/>
      <c r="I125" s="1093"/>
      <c r="J125" s="1512"/>
      <c r="K125" s="286" t="s">
        <v>2345</v>
      </c>
      <c r="L125" s="1604">
        <f t="shared" si="211"/>
        <v>0</v>
      </c>
      <c r="M125" s="286" t="s">
        <v>2358</v>
      </c>
      <c r="N125" s="531">
        <f t="shared" si="212"/>
        <v>0</v>
      </c>
      <c r="O125" s="1031"/>
      <c r="P125" s="1630"/>
      <c r="Q125" s="1210"/>
      <c r="R125" s="482">
        <f t="shared" si="213"/>
        <v>0</v>
      </c>
      <c r="S125" s="109"/>
    </row>
    <row r="126" spans="1:182" ht="18.75" customHeight="1">
      <c r="B126" s="1544" t="s">
        <v>21</v>
      </c>
      <c r="C126" s="286" t="s">
        <v>885</v>
      </c>
      <c r="D126" s="1700"/>
      <c r="E126" s="286" t="s">
        <v>886</v>
      </c>
      <c r="F126" s="1699"/>
      <c r="G126" s="286" t="s">
        <v>887</v>
      </c>
      <c r="H126" s="1699"/>
      <c r="I126" s="1093"/>
      <c r="J126" s="1512"/>
      <c r="K126" s="286" t="s">
        <v>2346</v>
      </c>
      <c r="L126" s="1604">
        <f t="shared" si="211"/>
        <v>0</v>
      </c>
      <c r="M126" s="286" t="s">
        <v>2359</v>
      </c>
      <c r="N126" s="531">
        <f t="shared" si="212"/>
        <v>0</v>
      </c>
      <c r="O126" s="1031"/>
      <c r="P126" s="1630"/>
      <c r="Q126" s="1210"/>
      <c r="R126" s="482">
        <f t="shared" si="213"/>
        <v>0</v>
      </c>
      <c r="S126" s="109"/>
    </row>
    <row r="127" spans="1:182" ht="18.75" customHeight="1">
      <c r="B127" s="1544" t="s">
        <v>18</v>
      </c>
      <c r="C127" s="1186"/>
      <c r="D127" s="1703"/>
      <c r="E127" s="286" t="s">
        <v>888</v>
      </c>
      <c r="F127" s="1699"/>
      <c r="G127" s="286" t="s">
        <v>889</v>
      </c>
      <c r="H127" s="1699"/>
      <c r="I127" s="1093"/>
      <c r="J127" s="1512"/>
      <c r="K127" s="286" t="s">
        <v>2347</v>
      </c>
      <c r="L127" s="1604">
        <f t="shared" si="211"/>
        <v>0</v>
      </c>
      <c r="M127" s="286" t="s">
        <v>2360</v>
      </c>
      <c r="N127" s="531">
        <f t="shared" si="212"/>
        <v>0</v>
      </c>
      <c r="O127" s="1031"/>
      <c r="P127" s="1630"/>
      <c r="Q127" s="1210"/>
      <c r="R127" s="482">
        <f t="shared" si="213"/>
        <v>0</v>
      </c>
      <c r="S127" s="109"/>
    </row>
    <row r="128" spans="1:182" ht="18.75" customHeight="1">
      <c r="B128" s="1544" t="s">
        <v>19</v>
      </c>
      <c r="C128" s="286" t="s">
        <v>15</v>
      </c>
      <c r="D128" s="1700"/>
      <c r="E128" s="286" t="s">
        <v>16</v>
      </c>
      <c r="F128" s="1700"/>
      <c r="G128" s="286" t="s">
        <v>17</v>
      </c>
      <c r="H128" s="1700"/>
      <c r="I128" s="1093"/>
      <c r="J128" s="1512"/>
      <c r="K128" s="286" t="s">
        <v>2348</v>
      </c>
      <c r="L128" s="1604">
        <f t="shared" si="211"/>
        <v>0</v>
      </c>
      <c r="M128" s="286" t="s">
        <v>2361</v>
      </c>
      <c r="N128" s="531">
        <f t="shared" si="212"/>
        <v>0</v>
      </c>
      <c r="O128" s="1031"/>
      <c r="P128" s="1630"/>
      <c r="Q128" s="1210"/>
      <c r="R128" s="482">
        <f t="shared" si="213"/>
        <v>0</v>
      </c>
      <c r="S128" s="109"/>
    </row>
    <row r="129" spans="1:30" ht="18.75" customHeight="1">
      <c r="B129" s="1544" t="s">
        <v>22</v>
      </c>
      <c r="C129" s="286" t="s">
        <v>890</v>
      </c>
      <c r="D129" s="1700"/>
      <c r="E129" s="286" t="s">
        <v>891</v>
      </c>
      <c r="F129" s="1699"/>
      <c r="G129" s="286" t="s">
        <v>892</v>
      </c>
      <c r="H129" s="1699"/>
      <c r="I129" s="1093"/>
      <c r="J129" s="1512"/>
      <c r="K129" s="286" t="s">
        <v>2349</v>
      </c>
      <c r="L129" s="1604">
        <f t="shared" si="211"/>
        <v>0</v>
      </c>
      <c r="M129" s="286" t="s">
        <v>2362</v>
      </c>
      <c r="N129" s="531">
        <f t="shared" si="212"/>
        <v>0</v>
      </c>
      <c r="O129" s="1031"/>
      <c r="P129" s="1630"/>
      <c r="Q129" s="1210"/>
      <c r="R129" s="482">
        <f t="shared" si="213"/>
        <v>0</v>
      </c>
      <c r="S129" s="109"/>
    </row>
    <row r="130" spans="1:30" ht="18.75" customHeight="1">
      <c r="B130" s="1544" t="s">
        <v>18</v>
      </c>
      <c r="C130" s="1186"/>
      <c r="D130" s="1703"/>
      <c r="E130" s="286" t="s">
        <v>893</v>
      </c>
      <c r="F130" s="1699"/>
      <c r="G130" s="286" t="s">
        <v>894</v>
      </c>
      <c r="H130" s="1699"/>
      <c r="I130" s="1093"/>
      <c r="J130" s="1512"/>
      <c r="K130" s="286" t="s">
        <v>2350</v>
      </c>
      <c r="L130" s="1604">
        <f t="shared" si="211"/>
        <v>0</v>
      </c>
      <c r="M130" s="286" t="s">
        <v>2363</v>
      </c>
      <c r="N130" s="531">
        <f t="shared" si="212"/>
        <v>0</v>
      </c>
      <c r="O130" s="1031"/>
      <c r="P130" s="1630"/>
      <c r="Q130" s="1210"/>
      <c r="R130" s="482">
        <f t="shared" si="213"/>
        <v>0</v>
      </c>
      <c r="S130" s="109"/>
    </row>
    <row r="131" spans="1:30" ht="18.75" customHeight="1">
      <c r="B131" s="1544" t="s">
        <v>19</v>
      </c>
      <c r="C131" s="1187" t="s">
        <v>1010</v>
      </c>
      <c r="D131" s="1699"/>
      <c r="E131" s="1151" t="s">
        <v>1011</v>
      </c>
      <c r="F131" s="1699"/>
      <c r="G131" s="1130" t="s">
        <v>1012</v>
      </c>
      <c r="H131" s="1699"/>
      <c r="I131" s="1010"/>
      <c r="J131" s="1545"/>
      <c r="K131" s="1130" t="s">
        <v>2351</v>
      </c>
      <c r="L131" s="1604">
        <f t="shared" si="211"/>
        <v>0</v>
      </c>
      <c r="M131" s="1130" t="s">
        <v>2364</v>
      </c>
      <c r="N131" s="531">
        <f t="shared" si="212"/>
        <v>0</v>
      </c>
      <c r="O131" s="1031"/>
      <c r="P131" s="1630"/>
      <c r="Q131" s="1210"/>
      <c r="R131" s="482">
        <f t="shared" si="213"/>
        <v>0</v>
      </c>
      <c r="S131" s="109"/>
    </row>
    <row r="132" spans="1:30" ht="18.75" customHeight="1">
      <c r="B132" s="1544" t="s">
        <v>23</v>
      </c>
      <c r="C132" s="286" t="s">
        <v>1013</v>
      </c>
      <c r="D132" s="1699"/>
      <c r="E132" s="286" t="s">
        <v>1014</v>
      </c>
      <c r="F132" s="1699"/>
      <c r="G132" s="286" t="s">
        <v>1015</v>
      </c>
      <c r="H132" s="1699"/>
      <c r="I132" s="1010"/>
      <c r="J132" s="1545"/>
      <c r="K132" s="286" t="s">
        <v>2352</v>
      </c>
      <c r="L132" s="1604">
        <f t="shared" si="211"/>
        <v>0</v>
      </c>
      <c r="M132" s="286" t="s">
        <v>2365</v>
      </c>
      <c r="N132" s="531">
        <f t="shared" si="212"/>
        <v>0</v>
      </c>
      <c r="O132" s="1031"/>
      <c r="P132" s="1630"/>
      <c r="Q132" s="1210"/>
      <c r="R132" s="482">
        <f t="shared" si="213"/>
        <v>0</v>
      </c>
      <c r="S132" s="109"/>
    </row>
    <row r="133" spans="1:30" ht="18.75" customHeight="1">
      <c r="B133" s="1544" t="s">
        <v>18</v>
      </c>
      <c r="C133" s="1186"/>
      <c r="D133" s="1703"/>
      <c r="E133" s="286" t="s">
        <v>1016</v>
      </c>
      <c r="F133" s="1699"/>
      <c r="G133" s="286" t="s">
        <v>1017</v>
      </c>
      <c r="H133" s="1699"/>
      <c r="I133" s="1010"/>
      <c r="J133" s="1545"/>
      <c r="K133" s="286" t="s">
        <v>2353</v>
      </c>
      <c r="L133" s="1604">
        <f t="shared" si="211"/>
        <v>0</v>
      </c>
      <c r="M133" s="286" t="s">
        <v>2366</v>
      </c>
      <c r="N133" s="531">
        <f t="shared" si="212"/>
        <v>0</v>
      </c>
      <c r="O133" s="1031"/>
      <c r="P133" s="1630"/>
      <c r="Q133" s="1210"/>
      <c r="R133" s="482">
        <f t="shared" si="213"/>
        <v>0</v>
      </c>
      <c r="S133" s="109"/>
    </row>
    <row r="134" spans="1:30" ht="18.75" customHeight="1">
      <c r="B134" s="1544" t="s">
        <v>19</v>
      </c>
      <c r="C134" s="286" t="s">
        <v>1018</v>
      </c>
      <c r="D134" s="1699"/>
      <c r="E134" s="286" t="s">
        <v>1019</v>
      </c>
      <c r="F134" s="1699"/>
      <c r="G134" s="286" t="s">
        <v>1020</v>
      </c>
      <c r="H134" s="1699"/>
      <c r="I134" s="1010"/>
      <c r="J134" s="1545"/>
      <c r="K134" s="286" t="s">
        <v>2354</v>
      </c>
      <c r="L134" s="1604">
        <f t="shared" si="211"/>
        <v>0</v>
      </c>
      <c r="M134" s="286" t="s">
        <v>2367</v>
      </c>
      <c r="N134" s="531">
        <f t="shared" si="212"/>
        <v>0</v>
      </c>
      <c r="O134" s="1031"/>
      <c r="P134" s="1630"/>
      <c r="Q134" s="1210"/>
      <c r="R134" s="482">
        <f t="shared" si="213"/>
        <v>0</v>
      </c>
      <c r="S134" s="109"/>
    </row>
    <row r="135" spans="1:30" ht="18.75" customHeight="1">
      <c r="B135" s="227" t="s">
        <v>166</v>
      </c>
      <c r="C135" s="1185"/>
      <c r="D135" s="60"/>
      <c r="E135" s="286" t="s">
        <v>895</v>
      </c>
      <c r="F135" s="134">
        <f>SUM(F123:F134)</f>
        <v>0</v>
      </c>
      <c r="G135" s="286" t="s">
        <v>896</v>
      </c>
      <c r="H135" s="134">
        <f>SUM(H123:H134)</f>
        <v>0</v>
      </c>
      <c r="I135" s="141"/>
      <c r="J135" s="134">
        <f>F135+H135</f>
        <v>0</v>
      </c>
      <c r="K135" s="286" t="s">
        <v>2355</v>
      </c>
      <c r="L135" s="1739">
        <f>SUM(L123:L134)</f>
        <v>0</v>
      </c>
      <c r="M135" s="286" t="s">
        <v>2368</v>
      </c>
      <c r="N135" s="1739">
        <f>SUM(N123:N134)</f>
        <v>0</v>
      </c>
      <c r="O135" s="1040"/>
      <c r="P135" s="1895" t="s">
        <v>432</v>
      </c>
      <c r="Q135" s="1895"/>
      <c r="R135" s="1896"/>
      <c r="S135" s="109"/>
    </row>
    <row r="136" spans="1:30" ht="13.8">
      <c r="B136" s="1546"/>
      <c r="C136" s="1188"/>
      <c r="D136" s="64"/>
      <c r="E136" s="1148"/>
      <c r="F136" s="65"/>
      <c r="G136" s="1131"/>
      <c r="H136" s="65"/>
      <c r="I136" s="1108"/>
      <c r="J136" s="1547"/>
      <c r="K136" s="1074"/>
      <c r="L136" s="1420"/>
      <c r="M136" s="1059"/>
      <c r="N136" s="1421"/>
      <c r="O136" s="1043"/>
      <c r="P136" s="1895"/>
      <c r="Q136" s="1895"/>
      <c r="R136" s="1896"/>
      <c r="S136" s="109"/>
    </row>
    <row r="137" spans="1:30" ht="27.6">
      <c r="B137" s="550" t="s">
        <v>433</v>
      </c>
      <c r="C137" s="1185"/>
      <c r="D137" s="66"/>
      <c r="E137" s="286" t="s">
        <v>1021</v>
      </c>
      <c r="F137" s="134">
        <f>SUM(F120,-F135)</f>
        <v>0</v>
      </c>
      <c r="G137" s="286" t="s">
        <v>1022</v>
      </c>
      <c r="H137" s="134">
        <f>SUM(H120,-H135)</f>
        <v>0</v>
      </c>
      <c r="I137" s="286" t="s">
        <v>1023</v>
      </c>
      <c r="J137" s="134">
        <f>F137+H137</f>
        <v>0</v>
      </c>
      <c r="K137" s="286" t="s">
        <v>2369</v>
      </c>
      <c r="L137" s="134">
        <f>SUM(L120,-L135)</f>
        <v>0</v>
      </c>
      <c r="M137" s="286" t="s">
        <v>2370</v>
      </c>
      <c r="N137" s="134">
        <f>SUM(N120,-N135)</f>
        <v>0</v>
      </c>
      <c r="O137" s="1040"/>
      <c r="P137" s="1900" t="s">
        <v>438</v>
      </c>
      <c r="Q137" s="1901"/>
      <c r="R137" s="1901"/>
      <c r="S137" s="109"/>
    </row>
    <row r="138" spans="1:30" ht="30" customHeight="1">
      <c r="B138" s="959"/>
      <c r="C138" s="1191"/>
      <c r="D138" s="960"/>
      <c r="E138" s="1132"/>
      <c r="F138" s="960"/>
      <c r="G138" s="1132"/>
      <c r="H138" s="960"/>
      <c r="I138" s="1109"/>
      <c r="J138" s="961"/>
      <c r="K138" s="1074"/>
      <c r="L138" s="1935" t="s">
        <v>2452</v>
      </c>
      <c r="M138" s="1936"/>
      <c r="N138" s="1937"/>
      <c r="O138" s="1045"/>
      <c r="P138" s="618" t="s">
        <v>59</v>
      </c>
      <c r="Q138" s="1162"/>
      <c r="R138" s="619" t="s">
        <v>423</v>
      </c>
      <c r="S138" s="109"/>
    </row>
    <row r="139" spans="1:30" ht="58.5" customHeight="1">
      <c r="B139" s="2005" t="s">
        <v>1205</v>
      </c>
      <c r="C139" s="2006"/>
      <c r="D139" s="2006"/>
      <c r="E139" s="1153"/>
      <c r="F139" s="2010" t="s">
        <v>1083</v>
      </c>
      <c r="G139" s="2011"/>
      <c r="H139" s="2011"/>
      <c r="I139" s="2011"/>
      <c r="J139" s="2012"/>
      <c r="K139" s="1672" t="s">
        <v>2409</v>
      </c>
      <c r="L139" s="1604">
        <f>IF(P139&lt;&gt;"", P139*H137, L$51*H137)</f>
        <v>0</v>
      </c>
      <c r="M139" s="1679" t="s">
        <v>2410</v>
      </c>
      <c r="N139" s="1603">
        <f>H137-L139</f>
        <v>0</v>
      </c>
      <c r="O139" s="1020"/>
      <c r="P139" s="1630"/>
      <c r="Q139" s="1210"/>
      <c r="R139" s="482">
        <f>IF(P139&lt;&gt;"", 1-P139, N$21)</f>
        <v>0</v>
      </c>
      <c r="S139" s="109"/>
    </row>
    <row r="140" spans="1:30" ht="14.4" thickBot="1">
      <c r="B140" s="1548" t="s">
        <v>439</v>
      </c>
      <c r="C140" s="1192"/>
      <c r="D140" s="50"/>
      <c r="E140" s="1131"/>
      <c r="F140" s="50"/>
      <c r="G140" s="1131"/>
      <c r="H140" s="50"/>
      <c r="I140" s="1027"/>
      <c r="J140" s="134">
        <f>J137</f>
        <v>0</v>
      </c>
      <c r="K140" s="1018"/>
      <c r="L140" s="1609">
        <f>SUM(L139,L137)</f>
        <v>0</v>
      </c>
      <c r="M140" s="1610"/>
      <c r="N140" s="1611">
        <f>SUM(N139,N137)</f>
        <v>0</v>
      </c>
      <c r="O140" s="1009"/>
    </row>
    <row r="141" spans="1:30" ht="77.25" customHeight="1">
      <c r="B141" s="1959" t="s">
        <v>2622</v>
      </c>
      <c r="C141" s="1960"/>
      <c r="D141" s="1960"/>
      <c r="E141" s="1960"/>
      <c r="F141" s="1960"/>
      <c r="G141" s="1960"/>
      <c r="H141" s="1960"/>
      <c r="I141" s="1960"/>
      <c r="J141" s="1961"/>
      <c r="K141" s="1007"/>
      <c r="L141" s="1926"/>
      <c r="M141" s="1927"/>
      <c r="N141" s="1928"/>
      <c r="O141" s="1046"/>
      <c r="S141" s="109"/>
      <c r="T141" s="920">
        <v>2.4</v>
      </c>
    </row>
    <row r="142" spans="1:30" ht="174.75" customHeight="1">
      <c r="A142" s="1205" t="s">
        <v>1353</v>
      </c>
      <c r="B142" s="2017"/>
      <c r="C142" s="2018"/>
      <c r="D142" s="2018"/>
      <c r="E142" s="2018"/>
      <c r="F142" s="2018"/>
      <c r="G142" s="2018"/>
      <c r="H142" s="2018"/>
      <c r="I142" s="2018"/>
      <c r="J142" s="2019"/>
      <c r="K142" s="1008"/>
      <c r="L142" s="1428" t="s">
        <v>422</v>
      </c>
      <c r="M142" s="1429"/>
      <c r="N142" s="1430"/>
      <c r="O142" s="1046"/>
      <c r="S142" s="109"/>
      <c r="T142" s="921">
        <f>IF(B142&lt;&gt;"",1,0)</f>
        <v>0</v>
      </c>
    </row>
    <row r="143" spans="1:30" ht="41.25" customHeight="1">
      <c r="B143" s="2029" t="s">
        <v>1184</v>
      </c>
      <c r="C143" s="2030"/>
      <c r="D143" s="2031"/>
      <c r="E143" s="2031"/>
      <c r="F143" s="2031"/>
      <c r="G143" s="1133"/>
      <c r="H143" s="833" t="s">
        <v>1185</v>
      </c>
      <c r="I143" s="1110"/>
      <c r="J143" s="1740" t="s">
        <v>2537</v>
      </c>
      <c r="K143" s="1416"/>
      <c r="L143" s="538" t="s">
        <v>59</v>
      </c>
      <c r="M143" s="1048"/>
      <c r="N143" s="539" t="s">
        <v>423</v>
      </c>
      <c r="O143" s="1046"/>
      <c r="S143" s="109"/>
      <c r="T143" s="921"/>
      <c r="U143" s="420" t="s">
        <v>1166</v>
      </c>
      <c r="V143" s="2004" t="s">
        <v>1196</v>
      </c>
      <c r="W143" s="2004"/>
      <c r="Y143" s="420" t="s">
        <v>151</v>
      </c>
      <c r="Z143" s="420" t="s">
        <v>59</v>
      </c>
      <c r="AA143" s="420" t="s">
        <v>1201</v>
      </c>
      <c r="AC143" s="824">
        <f>MAX($H$144:$H$155)</f>
        <v>0</v>
      </c>
      <c r="AD143" s="420" t="s">
        <v>1174</v>
      </c>
    </row>
    <row r="144" spans="1:30" ht="33.75" customHeight="1">
      <c r="B144" s="1540" t="s">
        <v>2211</v>
      </c>
      <c r="C144" s="746"/>
      <c r="D144" s="50"/>
      <c r="E144" s="1131"/>
      <c r="F144" s="63"/>
      <c r="G144" s="1004" t="s">
        <v>1352</v>
      </c>
      <c r="H144" s="1704"/>
      <c r="I144" s="286" t="s">
        <v>2161</v>
      </c>
      <c r="J144" s="1705"/>
      <c r="K144" s="286"/>
      <c r="L144" s="540"/>
      <c r="M144" s="286" t="s">
        <v>2379</v>
      </c>
      <c r="N144" s="531">
        <f>J144</f>
        <v>0</v>
      </c>
      <c r="O144" s="1031"/>
      <c r="P144" s="1900" t="s">
        <v>438</v>
      </c>
      <c r="Q144" s="1901"/>
      <c r="R144" s="1901"/>
      <c r="S144" s="109"/>
      <c r="T144" s="921">
        <f>IF(AND(J144&gt;0,H144&gt;0),1,IF(AND(J144=0,H144=0),1,0))</f>
        <v>1</v>
      </c>
      <c r="U144">
        <v>1</v>
      </c>
      <c r="V144" s="892">
        <f t="shared" ref="V144:V158" si="214">IF(COUNTIF($H$144:$H$165,U144)&gt;=1,"",ROW())</f>
        <v>144</v>
      </c>
      <c r="W144" s="892">
        <f t="shared" ref="W144:W158" si="215">IF(ROW(U144)-ROW(U$144)+1&gt;COUNT(V$144:V$158),"",INDEX(U:U,SMALL(V$144:V$158,1+ROW(U144)-ROW(U$144))))</f>
        <v>1</v>
      </c>
      <c r="X144" s="824">
        <f t="shared" ref="X144:X152" si="216">H144</f>
        <v>0</v>
      </c>
      <c r="Y144" s="825">
        <f t="shared" ref="Y144:Y151" si="217">J144</f>
        <v>0</v>
      </c>
      <c r="Z144" s="825">
        <f t="shared" ref="Z144:Z151" si="218">L144</f>
        <v>0</v>
      </c>
      <c r="AA144" s="825">
        <f t="shared" ref="AA144:AA151" si="219">N144</f>
        <v>0</v>
      </c>
      <c r="AB144" s="420" t="s">
        <v>1147</v>
      </c>
      <c r="AC144" t="str">
        <f t="shared" ref="AC144:AC156" si="220">IF(X144=0,"",IF(X144&lt;=$AC$143,1,0))</f>
        <v/>
      </c>
    </row>
    <row r="145" spans="2:29" ht="42">
      <c r="B145" s="1540" t="s">
        <v>2212</v>
      </c>
      <c r="C145" s="746"/>
      <c r="D145" s="50"/>
      <c r="E145" s="1131"/>
      <c r="F145" s="63"/>
      <c r="G145" s="1004" t="s">
        <v>1354</v>
      </c>
      <c r="H145" s="1704"/>
      <c r="I145" s="286" t="s">
        <v>2156</v>
      </c>
      <c r="J145" s="1705"/>
      <c r="K145" s="286"/>
      <c r="L145" s="540"/>
      <c r="M145" s="286" t="s">
        <v>2380</v>
      </c>
      <c r="N145" s="531">
        <f>J145</f>
        <v>0</v>
      </c>
      <c r="O145" s="1031"/>
      <c r="P145" s="618" t="s">
        <v>59</v>
      </c>
      <c r="Q145" s="1162"/>
      <c r="R145" s="619" t="s">
        <v>423</v>
      </c>
      <c r="S145" s="109"/>
      <c r="T145" s="921">
        <f t="shared" ref="T145:T151" si="221">IF(AND(J145&gt;0,H145&gt;0),1,IF(AND(J145=0,H145=0),1,0))</f>
        <v>1</v>
      </c>
      <c r="U145">
        <v>2</v>
      </c>
      <c r="V145" s="892">
        <f t="shared" si="214"/>
        <v>145</v>
      </c>
      <c r="W145" s="892">
        <f t="shared" si="215"/>
        <v>2</v>
      </c>
      <c r="X145" s="824">
        <f t="shared" si="216"/>
        <v>0</v>
      </c>
      <c r="Y145" s="825">
        <f t="shared" si="217"/>
        <v>0</v>
      </c>
      <c r="Z145" s="825">
        <f t="shared" si="218"/>
        <v>0</v>
      </c>
      <c r="AA145" s="825">
        <f t="shared" si="219"/>
        <v>0</v>
      </c>
      <c r="AB145" s="420" t="s">
        <v>1148</v>
      </c>
      <c r="AC145" t="str">
        <f t="shared" si="220"/>
        <v/>
      </c>
    </row>
    <row r="146" spans="2:29" ht="28.2">
      <c r="B146" s="1549" t="s">
        <v>2213</v>
      </c>
      <c r="C146" s="746"/>
      <c r="D146" s="50"/>
      <c r="E146" s="1131"/>
      <c r="F146" s="63"/>
      <c r="G146" s="1004" t="s">
        <v>1355</v>
      </c>
      <c r="H146" s="1704"/>
      <c r="I146" s="286" t="s">
        <v>2157</v>
      </c>
      <c r="J146" s="1706"/>
      <c r="K146" s="286" t="s">
        <v>2371</v>
      </c>
      <c r="L146" s="514">
        <f>J146*L$51</f>
        <v>0</v>
      </c>
      <c r="M146" s="286" t="s">
        <v>2381</v>
      </c>
      <c r="N146" s="531">
        <f>J146-L146</f>
        <v>0</v>
      </c>
      <c r="O146" s="1031"/>
      <c r="P146" s="490" t="str">
        <f>IF(J146&gt;0, L146/J146, "")</f>
        <v/>
      </c>
      <c r="Q146" s="1211"/>
      <c r="R146" s="481" t="str">
        <f>IF(J146&gt;0, N146/J146, "")</f>
        <v/>
      </c>
      <c r="S146" s="109"/>
      <c r="T146" s="921">
        <f t="shared" si="221"/>
        <v>1</v>
      </c>
      <c r="U146">
        <v>3</v>
      </c>
      <c r="V146" s="892">
        <f t="shared" si="214"/>
        <v>146</v>
      </c>
      <c r="W146" s="892">
        <f t="shared" si="215"/>
        <v>3</v>
      </c>
      <c r="X146" s="824">
        <f t="shared" si="216"/>
        <v>0</v>
      </c>
      <c r="Y146" s="825">
        <f t="shared" si="217"/>
        <v>0</v>
      </c>
      <c r="Z146" s="825">
        <f t="shared" si="218"/>
        <v>0</v>
      </c>
      <c r="AA146" s="825">
        <f t="shared" si="219"/>
        <v>0</v>
      </c>
      <c r="AB146" s="420" t="s">
        <v>1149</v>
      </c>
      <c r="AC146" t="str">
        <f t="shared" si="220"/>
        <v/>
      </c>
    </row>
    <row r="147" spans="2:29" ht="40.200000000000003">
      <c r="B147" s="1549" t="s">
        <v>2214</v>
      </c>
      <c r="C147" s="746"/>
      <c r="D147" s="50"/>
      <c r="E147" s="1131"/>
      <c r="F147" s="63"/>
      <c r="G147" s="1004" t="s">
        <v>1356</v>
      </c>
      <c r="H147" s="1704"/>
      <c r="I147" s="286" t="s">
        <v>2162</v>
      </c>
      <c r="J147" s="1705"/>
      <c r="K147" s="286"/>
      <c r="L147" s="541"/>
      <c r="M147" s="286" t="s">
        <v>2382</v>
      </c>
      <c r="N147" s="531">
        <f>J147</f>
        <v>0</v>
      </c>
      <c r="O147" s="1031"/>
      <c r="S147" s="109"/>
      <c r="T147" s="921">
        <f t="shared" si="221"/>
        <v>1</v>
      </c>
      <c r="U147">
        <v>4</v>
      </c>
      <c r="V147" s="892">
        <f t="shared" si="214"/>
        <v>147</v>
      </c>
      <c r="W147" s="892">
        <f t="shared" si="215"/>
        <v>4</v>
      </c>
      <c r="X147" s="824">
        <f t="shared" si="216"/>
        <v>0</v>
      </c>
      <c r="Y147" s="825">
        <f t="shared" si="217"/>
        <v>0</v>
      </c>
      <c r="Z147" s="825">
        <f t="shared" si="218"/>
        <v>0</v>
      </c>
      <c r="AA147" s="825">
        <f t="shared" si="219"/>
        <v>0</v>
      </c>
      <c r="AB147" s="420" t="s">
        <v>1150</v>
      </c>
      <c r="AC147" t="str">
        <f t="shared" si="220"/>
        <v/>
      </c>
    </row>
    <row r="148" spans="2:29" ht="40.200000000000003">
      <c r="B148" s="1549" t="s">
        <v>2215</v>
      </c>
      <c r="C148" s="746"/>
      <c r="D148" s="50"/>
      <c r="E148" s="1131"/>
      <c r="F148" s="63"/>
      <c r="G148" s="1004" t="s">
        <v>1357</v>
      </c>
      <c r="H148" s="1704"/>
      <c r="I148" s="286" t="s">
        <v>2163</v>
      </c>
      <c r="J148" s="1706"/>
      <c r="K148" s="286" t="s">
        <v>2372</v>
      </c>
      <c r="L148" s="514">
        <f>J148*L$51</f>
        <v>0</v>
      </c>
      <c r="M148" s="286" t="s">
        <v>2383</v>
      </c>
      <c r="N148" s="531">
        <f>J148-L148</f>
        <v>0</v>
      </c>
      <c r="O148" s="1031"/>
      <c r="P148" s="490" t="str">
        <f>IF(J148&gt;0, L148/J148, "")</f>
        <v/>
      </c>
      <c r="Q148" s="1211"/>
      <c r="R148" s="481" t="str">
        <f>IF(J148&gt;0, N148/J148, "")</f>
        <v/>
      </c>
      <c r="S148" s="109"/>
      <c r="T148" s="921">
        <f t="shared" si="221"/>
        <v>1</v>
      </c>
      <c r="U148">
        <v>5</v>
      </c>
      <c r="V148" s="892">
        <f t="shared" si="214"/>
        <v>148</v>
      </c>
      <c r="W148" s="892">
        <f t="shared" si="215"/>
        <v>5</v>
      </c>
      <c r="X148" s="824">
        <f t="shared" si="216"/>
        <v>0</v>
      </c>
      <c r="Y148" s="825">
        <f t="shared" si="217"/>
        <v>0</v>
      </c>
      <c r="Z148" s="825">
        <f t="shared" si="218"/>
        <v>0</v>
      </c>
      <c r="AA148" s="825">
        <f t="shared" si="219"/>
        <v>0</v>
      </c>
      <c r="AB148" s="420" t="s">
        <v>1151</v>
      </c>
      <c r="AC148" t="str">
        <f t="shared" si="220"/>
        <v/>
      </c>
    </row>
    <row r="149" spans="2:29" ht="40.200000000000003">
      <c r="B149" s="1549" t="s">
        <v>2216</v>
      </c>
      <c r="C149" s="746"/>
      <c r="D149" s="50"/>
      <c r="E149" s="1131"/>
      <c r="F149" s="63"/>
      <c r="G149" s="1004" t="s">
        <v>1358</v>
      </c>
      <c r="H149" s="1704"/>
      <c r="I149" s="286" t="s">
        <v>2164</v>
      </c>
      <c r="J149" s="1705"/>
      <c r="K149" s="286"/>
      <c r="L149" s="541"/>
      <c r="M149" s="286" t="s">
        <v>2384</v>
      </c>
      <c r="N149" s="531">
        <f>J149</f>
        <v>0</v>
      </c>
      <c r="O149" s="1031"/>
      <c r="P149" s="1900" t="s">
        <v>438</v>
      </c>
      <c r="Q149" s="1901"/>
      <c r="R149" s="1901"/>
      <c r="S149" s="109"/>
      <c r="T149" s="921">
        <f t="shared" si="221"/>
        <v>1</v>
      </c>
      <c r="U149">
        <v>6</v>
      </c>
      <c r="V149" s="892">
        <f t="shared" si="214"/>
        <v>149</v>
      </c>
      <c r="W149" s="892">
        <f t="shared" si="215"/>
        <v>6</v>
      </c>
      <c r="X149" s="824">
        <f t="shared" si="216"/>
        <v>0</v>
      </c>
      <c r="Y149" s="825">
        <f t="shared" si="217"/>
        <v>0</v>
      </c>
      <c r="Z149" s="825">
        <f t="shared" si="218"/>
        <v>0</v>
      </c>
      <c r="AA149" s="825">
        <f t="shared" si="219"/>
        <v>0</v>
      </c>
      <c r="AB149" s="420" t="s">
        <v>1152</v>
      </c>
      <c r="AC149" t="str">
        <f t="shared" si="220"/>
        <v/>
      </c>
    </row>
    <row r="150" spans="2:29" ht="28.2">
      <c r="B150" s="1550" t="s">
        <v>2217</v>
      </c>
      <c r="C150" s="1193"/>
      <c r="D150" s="50"/>
      <c r="E150" s="1131"/>
      <c r="F150" s="63"/>
      <c r="G150" s="1004" t="s">
        <v>1359</v>
      </c>
      <c r="H150" s="1704"/>
      <c r="I150" s="286" t="s">
        <v>2165</v>
      </c>
      <c r="J150" s="1707"/>
      <c r="K150" s="286" t="s">
        <v>2373</v>
      </c>
      <c r="L150" s="1604">
        <f t="shared" ref="L150:L155" si="222">IF(P150&lt;&gt;"", P150*J150, L$51*J150)</f>
        <v>0</v>
      </c>
      <c r="M150" s="286" t="s">
        <v>2385</v>
      </c>
      <c r="N150" s="531">
        <f t="shared" ref="N150:N151" si="223">J150-L150</f>
        <v>0</v>
      </c>
      <c r="O150" s="1031"/>
      <c r="P150" s="1630"/>
      <c r="Q150" s="1210"/>
      <c r="R150" s="482">
        <f t="shared" ref="R150:R155" si="224">IF(P150&lt;&gt;"", 1-P150, N$21)</f>
        <v>0</v>
      </c>
      <c r="S150" s="109"/>
      <c r="T150" s="921">
        <f t="shared" si="221"/>
        <v>1</v>
      </c>
      <c r="U150">
        <v>7</v>
      </c>
      <c r="V150" s="892">
        <f t="shared" si="214"/>
        <v>150</v>
      </c>
      <c r="W150" s="892">
        <f t="shared" si="215"/>
        <v>7</v>
      </c>
      <c r="X150" s="824">
        <f t="shared" si="216"/>
        <v>0</v>
      </c>
      <c r="Y150" s="825">
        <f t="shared" si="217"/>
        <v>0</v>
      </c>
      <c r="Z150" s="825">
        <f t="shared" si="218"/>
        <v>0</v>
      </c>
      <c r="AA150" s="825">
        <f t="shared" si="219"/>
        <v>0</v>
      </c>
      <c r="AB150" s="420" t="s">
        <v>1153</v>
      </c>
      <c r="AC150" t="str">
        <f t="shared" si="220"/>
        <v/>
      </c>
    </row>
    <row r="151" spans="2:29" ht="79.5" customHeight="1">
      <c r="B151" s="1549" t="s">
        <v>2218</v>
      </c>
      <c r="C151" s="67"/>
      <c r="D151" s="962" t="s">
        <v>1269</v>
      </c>
      <c r="E151" s="962"/>
      <c r="F151" s="279"/>
      <c r="G151" s="1004" t="s">
        <v>1360</v>
      </c>
      <c r="H151" s="1704"/>
      <c r="I151" s="286" t="s">
        <v>2168</v>
      </c>
      <c r="J151" s="1705"/>
      <c r="K151" s="286" t="s">
        <v>2374</v>
      </c>
      <c r="L151" s="1604">
        <f t="shared" si="222"/>
        <v>0</v>
      </c>
      <c r="M151" s="286" t="s">
        <v>2386</v>
      </c>
      <c r="N151" s="531">
        <f t="shared" si="223"/>
        <v>0</v>
      </c>
      <c r="O151" s="1031"/>
      <c r="P151" s="1630"/>
      <c r="Q151" s="1210"/>
      <c r="R151" s="482">
        <f t="shared" si="224"/>
        <v>0</v>
      </c>
      <c r="T151" s="921">
        <f t="shared" si="221"/>
        <v>1</v>
      </c>
      <c r="U151">
        <v>8</v>
      </c>
      <c r="V151" s="892">
        <f t="shared" si="214"/>
        <v>151</v>
      </c>
      <c r="W151" s="892">
        <f t="shared" si="215"/>
        <v>8</v>
      </c>
      <c r="X151" s="824">
        <f t="shared" si="216"/>
        <v>0</v>
      </c>
      <c r="Y151" s="825">
        <f t="shared" si="217"/>
        <v>0</v>
      </c>
      <c r="Z151" s="825">
        <f t="shared" si="218"/>
        <v>0</v>
      </c>
      <c r="AA151" s="825">
        <f t="shared" si="219"/>
        <v>0</v>
      </c>
      <c r="AB151" s="420" t="s">
        <v>1154</v>
      </c>
      <c r="AC151" t="str">
        <f t="shared" si="220"/>
        <v/>
      </c>
    </row>
    <row r="152" spans="2:29" ht="42">
      <c r="B152" s="1549" t="s">
        <v>2219</v>
      </c>
      <c r="C152" s="286" t="s">
        <v>1024</v>
      </c>
      <c r="D152" s="1708"/>
      <c r="E152" s="1154"/>
      <c r="F152" s="63"/>
      <c r="G152" s="1004" t="s">
        <v>1361</v>
      </c>
      <c r="H152" s="2020"/>
      <c r="I152" s="286" t="s">
        <v>2169</v>
      </c>
      <c r="J152" s="1706"/>
      <c r="K152" s="286" t="s">
        <v>2375</v>
      </c>
      <c r="L152" s="1604">
        <f t="shared" si="222"/>
        <v>0</v>
      </c>
      <c r="M152" s="286" t="s">
        <v>2387</v>
      </c>
      <c r="N152" s="531">
        <f t="shared" ref="N152:N164" si="225">J152-L152</f>
        <v>0</v>
      </c>
      <c r="O152" s="1031"/>
      <c r="P152" s="1630"/>
      <c r="Q152" s="1210"/>
      <c r="R152" s="482">
        <f t="shared" si="224"/>
        <v>0</v>
      </c>
      <c r="S152" s="109"/>
      <c r="T152" s="921">
        <f>IF(AND(J152+J153&gt;0,H152&gt;0),1,IF(AND(J152+J153=0,H152=0),1,0))</f>
        <v>1</v>
      </c>
      <c r="U152">
        <v>9</v>
      </c>
      <c r="V152" s="892">
        <f t="shared" si="214"/>
        <v>152</v>
      </c>
      <c r="W152" s="892">
        <f t="shared" si="215"/>
        <v>9</v>
      </c>
      <c r="X152" s="824">
        <f t="shared" si="216"/>
        <v>0</v>
      </c>
      <c r="Y152" s="825">
        <f>SUM(J152:J153)</f>
        <v>0</v>
      </c>
      <c r="Z152" s="825">
        <f>SUM(L152:L153)</f>
        <v>0</v>
      </c>
      <c r="AA152" s="825">
        <f t="shared" ref="AA152" si="226">SUM(N152:N153)</f>
        <v>0</v>
      </c>
      <c r="AB152" s="420" t="str">
        <f>"Debt Payments to Other Lender 1 - "&amp;D152</f>
        <v xml:space="preserve">Debt Payments to Other Lender 1 - </v>
      </c>
      <c r="AC152" t="str">
        <f t="shared" si="220"/>
        <v/>
      </c>
    </row>
    <row r="153" spans="2:29" ht="28.2">
      <c r="B153" s="1549" t="s">
        <v>2220</v>
      </c>
      <c r="C153" s="997"/>
      <c r="D153" s="1703"/>
      <c r="E153" s="1155"/>
      <c r="F153" s="63"/>
      <c r="G153" s="1131"/>
      <c r="H153" s="2021"/>
      <c r="I153" s="286" t="s">
        <v>2170</v>
      </c>
      <c r="J153" s="1705"/>
      <c r="K153" s="286" t="s">
        <v>2376</v>
      </c>
      <c r="L153" s="1604">
        <f t="shared" si="222"/>
        <v>0</v>
      </c>
      <c r="M153" s="286" t="s">
        <v>2388</v>
      </c>
      <c r="N153" s="531">
        <f t="shared" ref="N153" si="227">J153-L153</f>
        <v>0</v>
      </c>
      <c r="O153" s="1031"/>
      <c r="P153" s="1630"/>
      <c r="Q153" s="1210"/>
      <c r="R153" s="482">
        <f t="shared" si="224"/>
        <v>0</v>
      </c>
      <c r="S153" s="109"/>
      <c r="T153" s="921"/>
      <c r="U153">
        <v>10</v>
      </c>
      <c r="V153" s="892">
        <f t="shared" si="214"/>
        <v>153</v>
      </c>
      <c r="W153" s="892">
        <f t="shared" si="215"/>
        <v>10</v>
      </c>
      <c r="AC153" t="str">
        <f t="shared" si="220"/>
        <v/>
      </c>
    </row>
    <row r="154" spans="2:29" ht="14.25" customHeight="1">
      <c r="B154" s="1549" t="s">
        <v>2221</v>
      </c>
      <c r="C154" s="286" t="s">
        <v>1025</v>
      </c>
      <c r="D154" s="1708"/>
      <c r="E154" s="1154"/>
      <c r="F154" s="63"/>
      <c r="G154" s="1004" t="s">
        <v>1362</v>
      </c>
      <c r="H154" s="2020"/>
      <c r="I154" s="286" t="s">
        <v>2171</v>
      </c>
      <c r="J154" s="1706"/>
      <c r="K154" s="286" t="s">
        <v>2377</v>
      </c>
      <c r="L154" s="1604">
        <f t="shared" si="222"/>
        <v>0</v>
      </c>
      <c r="M154" s="286" t="s">
        <v>2389</v>
      </c>
      <c r="N154" s="531">
        <f t="shared" si="225"/>
        <v>0</v>
      </c>
      <c r="O154" s="1031"/>
      <c r="P154" s="1630"/>
      <c r="Q154" s="1210"/>
      <c r="R154" s="482">
        <f t="shared" si="224"/>
        <v>0</v>
      </c>
      <c r="S154" s="109"/>
      <c r="T154" s="921">
        <f>IF(AND(J154+J155&gt;0,H154&gt;0),1,IF(AND(J154+J155=0,H154=0),1,0))</f>
        <v>1</v>
      </c>
      <c r="U154">
        <v>11</v>
      </c>
      <c r="V154" s="892">
        <f t="shared" si="214"/>
        <v>154</v>
      </c>
      <c r="W154" s="892">
        <f t="shared" si="215"/>
        <v>11</v>
      </c>
      <c r="X154" s="824">
        <f>H154</f>
        <v>0</v>
      </c>
      <c r="Y154" s="825">
        <f>SUM(J154:J155)</f>
        <v>0</v>
      </c>
      <c r="Z154" s="825">
        <f>SUM(L154:L155)</f>
        <v>0</v>
      </c>
      <c r="AA154" s="825">
        <f t="shared" ref="AA154" si="228">SUM(N154:N155)</f>
        <v>0</v>
      </c>
      <c r="AB154" s="420" t="str">
        <f>"Debt Payments to Other Lender 2 - "&amp;D154</f>
        <v xml:space="preserve">Debt Payments to Other Lender 2 - </v>
      </c>
      <c r="AC154" t="str">
        <f t="shared" si="220"/>
        <v/>
      </c>
    </row>
    <row r="155" spans="2:29" ht="28.2">
      <c r="B155" s="1549" t="s">
        <v>2222</v>
      </c>
      <c r="C155" s="997"/>
      <c r="D155" s="783"/>
      <c r="E155" s="1155"/>
      <c r="F155" s="63"/>
      <c r="G155" s="1131"/>
      <c r="H155" s="2021"/>
      <c r="I155" s="286" t="s">
        <v>2172</v>
      </c>
      <c r="J155" s="1705"/>
      <c r="K155" s="286" t="s">
        <v>2378</v>
      </c>
      <c r="L155" s="1604">
        <f t="shared" si="222"/>
        <v>0</v>
      </c>
      <c r="M155" s="286" t="s">
        <v>2390</v>
      </c>
      <c r="N155" s="837">
        <f t="shared" si="225"/>
        <v>0</v>
      </c>
      <c r="O155" s="1031"/>
      <c r="P155" s="1630"/>
      <c r="Q155" s="1210"/>
      <c r="R155" s="482">
        <f t="shared" si="224"/>
        <v>0</v>
      </c>
      <c r="S155" s="109"/>
      <c r="T155" s="921"/>
      <c r="U155">
        <v>12</v>
      </c>
      <c r="V155" s="892">
        <f t="shared" si="214"/>
        <v>155</v>
      </c>
      <c r="W155" s="892">
        <f t="shared" si="215"/>
        <v>12</v>
      </c>
      <c r="AC155" t="str">
        <f t="shared" si="220"/>
        <v/>
      </c>
    </row>
    <row r="156" spans="2:29" ht="13.8">
      <c r="B156" s="835" t="s">
        <v>1176</v>
      </c>
      <c r="C156" s="996"/>
      <c r="D156" s="783"/>
      <c r="E156" s="1155"/>
      <c r="F156" s="63"/>
      <c r="G156" s="1112"/>
      <c r="H156" s="489"/>
      <c r="I156" s="1027"/>
      <c r="J156" s="860">
        <f>SUM(J144:J155)</f>
        <v>0</v>
      </c>
      <c r="K156" s="1027"/>
      <c r="L156" s="1424">
        <f>SUM(L144:L155)</f>
        <v>0</v>
      </c>
      <c r="M156" s="1062"/>
      <c r="N156" s="838">
        <f t="shared" ref="N156" si="229">SUM(N144:N155)</f>
        <v>0</v>
      </c>
      <c r="O156" s="1047"/>
      <c r="S156" s="109"/>
      <c r="T156" s="921"/>
      <c r="U156">
        <v>13</v>
      </c>
      <c r="V156" s="892">
        <f t="shared" si="214"/>
        <v>156</v>
      </c>
      <c r="W156" s="892">
        <f t="shared" si="215"/>
        <v>13</v>
      </c>
      <c r="AC156" t="str">
        <f t="shared" si="220"/>
        <v/>
      </c>
    </row>
    <row r="157" spans="2:29" ht="14.4">
      <c r="B157" s="1551"/>
      <c r="C157" s="1177"/>
      <c r="D157" s="68"/>
      <c r="E157" s="1156"/>
      <c r="F157" s="63"/>
      <c r="G157" s="1134"/>
      <c r="H157" s="63"/>
      <c r="I157" s="1108"/>
      <c r="J157" s="1512"/>
      <c r="K157" s="1108"/>
      <c r="L157" s="839"/>
      <c r="M157" s="1057"/>
      <c r="N157" s="840"/>
      <c r="O157" s="1031"/>
      <c r="S157" s="109"/>
      <c r="T157" s="921"/>
      <c r="U157">
        <v>14</v>
      </c>
      <c r="V157" s="892">
        <f t="shared" si="214"/>
        <v>157</v>
      </c>
      <c r="W157" s="892">
        <f t="shared" si="215"/>
        <v>14</v>
      </c>
    </row>
    <row r="158" spans="2:29" ht="27.6">
      <c r="B158" s="1552" t="s">
        <v>2223</v>
      </c>
      <c r="C158" s="997"/>
      <c r="D158" s="783"/>
      <c r="E158" s="1155"/>
      <c r="F158" s="63"/>
      <c r="G158" s="1135"/>
      <c r="H158" s="488"/>
      <c r="I158" s="286" t="s">
        <v>908</v>
      </c>
      <c r="J158" s="860">
        <f>ROUND(J140-J156,2)</f>
        <v>0</v>
      </c>
      <c r="K158" s="286" t="s">
        <v>2391</v>
      </c>
      <c r="L158" s="1425">
        <f>L140-L156</f>
        <v>0</v>
      </c>
      <c r="M158" s="286" t="s">
        <v>2398</v>
      </c>
      <c r="N158" s="836">
        <f t="shared" ref="N158" si="230">N140-N156</f>
        <v>0</v>
      </c>
      <c r="O158" s="1047"/>
      <c r="S158" s="109"/>
      <c r="T158" s="921"/>
      <c r="U158">
        <v>15</v>
      </c>
      <c r="V158" s="892">
        <f t="shared" si="214"/>
        <v>158</v>
      </c>
      <c r="W158" s="892">
        <f t="shared" si="215"/>
        <v>15</v>
      </c>
      <c r="X158" s="824"/>
      <c r="AC158" t="str">
        <f>IF(X158=0,"",IF(X158&lt;=$AC$143,1,0))</f>
        <v/>
      </c>
    </row>
    <row r="159" spans="2:29" ht="42.75" customHeight="1">
      <c r="B159" s="1551"/>
      <c r="C159" s="1177"/>
      <c r="D159" s="68"/>
      <c r="E159" s="1156"/>
      <c r="F159" s="63"/>
      <c r="G159" s="1131"/>
      <c r="H159" s="841" t="s">
        <v>1185</v>
      </c>
      <c r="I159" s="1111"/>
      <c r="J159" s="1740" t="s">
        <v>2537</v>
      </c>
      <c r="K159" s="1111"/>
      <c r="L159" s="538" t="s">
        <v>59</v>
      </c>
      <c r="M159" s="1111"/>
      <c r="N159" s="539" t="s">
        <v>423</v>
      </c>
      <c r="O159" s="1048"/>
      <c r="P159" s="1900" t="s">
        <v>438</v>
      </c>
      <c r="Q159" s="1901"/>
      <c r="R159" s="1901"/>
      <c r="S159" s="109"/>
      <c r="T159" s="921"/>
      <c r="X159" s="824"/>
    </row>
    <row r="160" spans="2:29" ht="42">
      <c r="B160" s="1499" t="s">
        <v>2224</v>
      </c>
      <c r="C160" s="1194"/>
      <c r="D160" s="783"/>
      <c r="E160" s="1155"/>
      <c r="F160" s="63"/>
      <c r="G160" s="1004" t="s">
        <v>1363</v>
      </c>
      <c r="H160" s="1704"/>
      <c r="I160" s="286" t="s">
        <v>2159</v>
      </c>
      <c r="J160" s="1705"/>
      <c r="K160" s="286" t="s">
        <v>2392</v>
      </c>
      <c r="L160" s="510">
        <v>0</v>
      </c>
      <c r="M160" s="286" t="s">
        <v>2399</v>
      </c>
      <c r="N160" s="531">
        <f>J160</f>
        <v>0</v>
      </c>
      <c r="O160" s="1031"/>
      <c r="S160" s="109"/>
      <c r="T160" s="921">
        <f t="shared" ref="T160:T161" si="231">IF(AND(J160&gt;0,H160&gt;0),1,IF(AND(J160=0,H160=0),1,0))</f>
        <v>1</v>
      </c>
      <c r="X160" s="824">
        <f>H160</f>
        <v>0</v>
      </c>
      <c r="Y160" s="825">
        <f>J160</f>
        <v>0</v>
      </c>
      <c r="Z160" s="825">
        <f>L160</f>
        <v>0</v>
      </c>
      <c r="AA160" s="825">
        <f t="shared" ref="AA160:AA161" si="232">N160</f>
        <v>0</v>
      </c>
      <c r="AB160" s="420" t="s">
        <v>1167</v>
      </c>
      <c r="AC160" t="str">
        <f>IF(X160=0,"",IF(X160&lt;=$AC$143,1,0))</f>
        <v/>
      </c>
    </row>
    <row r="161" spans="2:29" ht="28.2">
      <c r="B161" s="1499" t="s">
        <v>2225</v>
      </c>
      <c r="C161" s="1194"/>
      <c r="D161" s="783"/>
      <c r="E161" s="1155"/>
      <c r="F161" s="63"/>
      <c r="G161" s="1004" t="s">
        <v>1364</v>
      </c>
      <c r="H161" s="1704"/>
      <c r="I161" s="286" t="s">
        <v>2160</v>
      </c>
      <c r="J161" s="1705"/>
      <c r="K161" s="286" t="s">
        <v>2393</v>
      </c>
      <c r="L161" s="529">
        <f>IF(P161&lt;&gt;"", P161*J161, L$51*J161)</f>
        <v>0</v>
      </c>
      <c r="M161" s="286" t="s">
        <v>2400</v>
      </c>
      <c r="N161" s="531">
        <f t="shared" ref="N161" si="233">J161-L161</f>
        <v>0</v>
      </c>
      <c r="O161" s="1031"/>
      <c r="P161" s="617">
        <v>0</v>
      </c>
      <c r="Q161" s="1210"/>
      <c r="R161" s="482">
        <f>IF(P161&lt;&gt;"", 1-P161, N$21)</f>
        <v>1</v>
      </c>
      <c r="S161" s="109"/>
      <c r="T161" s="921">
        <f t="shared" si="231"/>
        <v>1</v>
      </c>
      <c r="X161" s="824">
        <f>H161</f>
        <v>0</v>
      </c>
      <c r="Y161" s="825">
        <f>J161</f>
        <v>0</v>
      </c>
      <c r="Z161" s="825">
        <f>L161</f>
        <v>0</v>
      </c>
      <c r="AA161" s="825">
        <f t="shared" si="232"/>
        <v>0</v>
      </c>
      <c r="AB161" s="420" t="s">
        <v>1168</v>
      </c>
      <c r="AC161" t="str">
        <f>IF(X161=0,"",IF(X161&lt;=$AC$143,1,0))</f>
        <v/>
      </c>
    </row>
    <row r="162" spans="2:29" ht="41.4">
      <c r="B162" s="1553" t="s">
        <v>2226</v>
      </c>
      <c r="C162" s="1195"/>
      <c r="D162" s="783"/>
      <c r="E162" s="1155"/>
      <c r="F162" s="63"/>
      <c r="G162" s="1134"/>
      <c r="H162" s="1709"/>
      <c r="I162" s="1005" t="s">
        <v>1407</v>
      </c>
      <c r="J162" s="1575">
        <f>SUM(J160:J161)</f>
        <v>0</v>
      </c>
      <c r="K162" s="1005" t="s">
        <v>2394</v>
      </c>
      <c r="L162" s="1425">
        <f>SUM(L160:L161)</f>
        <v>0</v>
      </c>
      <c r="M162" s="1005" t="s">
        <v>2401</v>
      </c>
      <c r="N162" s="836">
        <f>SUM(N160:N161)</f>
        <v>0</v>
      </c>
      <c r="O162" s="1047"/>
      <c r="S162" s="109"/>
      <c r="T162" s="921"/>
      <c r="X162" s="824"/>
      <c r="AC162" t="str">
        <f>IF(X162=0,"",IF(X162&lt;=$AC$143,1,0))</f>
        <v/>
      </c>
    </row>
    <row r="163" spans="2:29" ht="42">
      <c r="B163" s="1554" t="s">
        <v>2227</v>
      </c>
      <c r="C163" s="286" t="s">
        <v>1026</v>
      </c>
      <c r="D163" s="1708"/>
      <c r="E163" s="1154"/>
      <c r="F163" s="63"/>
      <c r="G163" s="1004" t="s">
        <v>1365</v>
      </c>
      <c r="H163" s="1704"/>
      <c r="I163" s="286" t="s">
        <v>1027</v>
      </c>
      <c r="J163" s="1705"/>
      <c r="K163" s="286" t="s">
        <v>2395</v>
      </c>
      <c r="L163" s="1604">
        <f>IF(P163&lt;&gt;"", P163*J163, L$51*J163)</f>
        <v>0</v>
      </c>
      <c r="M163" s="286" t="s">
        <v>2402</v>
      </c>
      <c r="N163" s="531">
        <f>J163-L163</f>
        <v>0</v>
      </c>
      <c r="O163" s="1031"/>
      <c r="P163" s="1630"/>
      <c r="Q163" s="1210"/>
      <c r="R163" s="482">
        <f>IF(P163&lt;&gt;"", 1-P163, N$21)</f>
        <v>0</v>
      </c>
      <c r="S163" s="109"/>
      <c r="T163" s="921">
        <f t="shared" ref="T163:T165" si="234">IF(AND(J163&gt;0,H163&gt;0),1,IF(AND(J163=0,H163=0),1,0))</f>
        <v>1</v>
      </c>
      <c r="X163" s="824">
        <f>H163</f>
        <v>0</v>
      </c>
      <c r="Y163" s="825">
        <f t="shared" ref="Y163:Y165" si="235">J163</f>
        <v>0</v>
      </c>
      <c r="Z163" s="825">
        <f t="shared" ref="Z163:Z165" si="236">L163</f>
        <v>0</v>
      </c>
      <c r="AA163" s="825">
        <f t="shared" ref="AA163:AA165" si="237">N163</f>
        <v>0</v>
      </c>
      <c r="AB163" s="420" t="str">
        <f>"Residual Receipts Payments to Other Lender 3 - "&amp;D163</f>
        <v xml:space="preserve">Residual Receipts Payments to Other Lender 3 - </v>
      </c>
    </row>
    <row r="164" spans="2:29" ht="42">
      <c r="B164" s="1554" t="s">
        <v>2228</v>
      </c>
      <c r="C164" s="286" t="s">
        <v>1028</v>
      </c>
      <c r="D164" s="1708"/>
      <c r="E164" s="1154"/>
      <c r="F164" s="63"/>
      <c r="G164" s="1004" t="s">
        <v>1366</v>
      </c>
      <c r="H164" s="1704"/>
      <c r="I164" s="286" t="s">
        <v>1029</v>
      </c>
      <c r="J164" s="1705"/>
      <c r="K164" s="286" t="s">
        <v>2396</v>
      </c>
      <c r="L164" s="1604">
        <f>IF(P164&lt;&gt;"", P164*J164, L$51*J164)</f>
        <v>0</v>
      </c>
      <c r="M164" s="286" t="s">
        <v>2403</v>
      </c>
      <c r="N164" s="531">
        <f t="shared" si="225"/>
        <v>0</v>
      </c>
      <c r="O164" s="1031"/>
      <c r="P164" s="1630"/>
      <c r="Q164" s="1210"/>
      <c r="R164" s="482">
        <f>IF(P164&lt;&gt;"", 1-P164, N$21)</f>
        <v>0</v>
      </c>
      <c r="S164" s="109"/>
      <c r="T164" s="921">
        <f t="shared" si="234"/>
        <v>1</v>
      </c>
      <c r="X164" s="824">
        <f>H164</f>
        <v>0</v>
      </c>
      <c r="Y164" s="825">
        <f t="shared" si="235"/>
        <v>0</v>
      </c>
      <c r="Z164" s="825">
        <f t="shared" si="236"/>
        <v>0</v>
      </c>
      <c r="AA164" s="825">
        <f t="shared" si="237"/>
        <v>0</v>
      </c>
      <c r="AB164" s="420" t="str">
        <f>"Residual Receipts Payments to Other Lender 4 - "&amp;D164</f>
        <v xml:space="preserve">Residual Receipts Payments to Other Lender 4 - </v>
      </c>
    </row>
    <row r="165" spans="2:29" ht="27">
      <c r="B165" s="1555" t="s">
        <v>2229</v>
      </c>
      <c r="C165" s="286" t="s">
        <v>2408</v>
      </c>
      <c r="D165" s="1711"/>
      <c r="E165" s="1154"/>
      <c r="F165" s="63"/>
      <c r="G165" s="1004" t="s">
        <v>1367</v>
      </c>
      <c r="H165" s="1704"/>
      <c r="I165" s="1004" t="s">
        <v>1351</v>
      </c>
      <c r="J165" s="1710"/>
      <c r="K165" s="1004" t="s">
        <v>2397</v>
      </c>
      <c r="L165" s="1604">
        <f>IF(P165&lt;&gt;"", P165*J165, L$51*J165)</f>
        <v>0</v>
      </c>
      <c r="M165" s="1004" t="s">
        <v>2404</v>
      </c>
      <c r="N165" s="531">
        <f t="shared" ref="N165" si="238">J165-L165</f>
        <v>0</v>
      </c>
      <c r="O165" s="1031"/>
      <c r="P165" s="1630"/>
      <c r="Q165" s="1210"/>
      <c r="R165" s="482">
        <f>IF(P165&lt;&gt;"", 1-P165, N$21)</f>
        <v>0</v>
      </c>
      <c r="S165" s="109"/>
      <c r="T165" s="921">
        <f t="shared" si="234"/>
        <v>1</v>
      </c>
      <c r="U165" s="924"/>
      <c r="X165" s="824">
        <f>H165</f>
        <v>0</v>
      </c>
      <c r="Y165" s="825">
        <f t="shared" si="235"/>
        <v>0</v>
      </c>
      <c r="Z165" s="825">
        <f t="shared" si="236"/>
        <v>0</v>
      </c>
      <c r="AA165" s="825">
        <f t="shared" si="237"/>
        <v>0</v>
      </c>
      <c r="AB165" s="420" t="str">
        <f>"Residual Receipts Payments to Other Lender 5 - "&amp;D165</f>
        <v xml:space="preserve">Residual Receipts Payments to Other Lender 5 - </v>
      </c>
    </row>
    <row r="166" spans="2:29" ht="14.4" thickBot="1">
      <c r="B166" s="550" t="s">
        <v>1186</v>
      </c>
      <c r="C166" s="996"/>
      <c r="D166" s="63"/>
      <c r="E166" s="1134"/>
      <c r="F166" s="63"/>
      <c r="G166" s="1134"/>
      <c r="H166" s="63"/>
      <c r="I166" s="1027"/>
      <c r="J166" s="141">
        <f>SUM(J162:J165)</f>
        <v>0</v>
      </c>
      <c r="K166" s="1018"/>
      <c r="L166" s="1418">
        <f>SUM(L162:L165)</f>
        <v>0</v>
      </c>
      <c r="M166" s="1040"/>
      <c r="N166" s="517">
        <f>SUM(N162:N165)</f>
        <v>0</v>
      </c>
      <c r="O166" s="1033"/>
      <c r="S166" s="109"/>
      <c r="T166" s="921"/>
    </row>
    <row r="167" spans="2:29">
      <c r="B167" s="1556"/>
      <c r="C167" s="1196"/>
      <c r="D167" s="2013"/>
      <c r="E167" s="2014"/>
      <c r="F167" s="2015"/>
      <c r="G167" s="2015"/>
      <c r="H167" s="2015"/>
      <c r="I167" s="2015"/>
      <c r="J167" s="2016"/>
      <c r="K167" s="1076"/>
      <c r="L167" s="1926" t="s">
        <v>422</v>
      </c>
      <c r="M167" s="1927"/>
      <c r="N167" s="1928"/>
      <c r="O167" s="1046"/>
      <c r="S167" s="109"/>
      <c r="T167" s="921"/>
    </row>
    <row r="168" spans="2:29" ht="45.75" customHeight="1">
      <c r="B168" s="1993" t="s">
        <v>434</v>
      </c>
      <c r="C168" s="1994"/>
      <c r="D168" s="1995"/>
      <c r="E168" s="1995"/>
      <c r="F168" s="1995"/>
      <c r="G168" s="1995"/>
      <c r="H168" s="1995"/>
      <c r="I168" s="1994"/>
      <c r="J168" s="1996"/>
      <c r="K168" s="1077"/>
      <c r="L168" s="538" t="s">
        <v>59</v>
      </c>
      <c r="M168" s="1048"/>
      <c r="N168" s="539" t="s">
        <v>423</v>
      </c>
      <c r="O168" s="1046"/>
      <c r="S168" s="109"/>
      <c r="T168" s="921"/>
    </row>
    <row r="169" spans="2:29" ht="14.4">
      <c r="B169" s="845" t="s">
        <v>1187</v>
      </c>
      <c r="C169" s="997"/>
      <c r="D169" s="271"/>
      <c r="E169" s="1113"/>
      <c r="F169" s="271"/>
      <c r="G169" s="1113"/>
      <c r="H169" s="271"/>
      <c r="I169" s="1113"/>
      <c r="J169" s="141">
        <f>ROUND(J158-J166,2)</f>
        <v>0</v>
      </c>
      <c r="K169" s="1009"/>
      <c r="L169" s="530">
        <f t="shared" ref="L169:N169" si="239">L158-L166</f>
        <v>0</v>
      </c>
      <c r="M169" s="1057"/>
      <c r="N169" s="531">
        <f t="shared" si="239"/>
        <v>0</v>
      </c>
      <c r="O169" s="1031"/>
      <c r="S169" s="109"/>
      <c r="T169" s="921"/>
    </row>
    <row r="170" spans="2:29">
      <c r="B170" s="1557"/>
      <c r="C170" s="1197"/>
      <c r="D170" s="843"/>
      <c r="E170" s="1157"/>
      <c r="F170" s="844"/>
      <c r="G170" s="1136"/>
      <c r="H170" s="844"/>
      <c r="I170" s="1114"/>
      <c r="J170" s="1558"/>
      <c r="K170" s="1078"/>
      <c r="L170" s="542"/>
      <c r="M170" s="1063"/>
      <c r="N170" s="543"/>
      <c r="O170" s="1049"/>
      <c r="S170" s="109"/>
      <c r="T170" s="921"/>
    </row>
    <row r="171" spans="2:29" ht="81.75" customHeight="1">
      <c r="B171" s="1559" t="s">
        <v>1580</v>
      </c>
      <c r="C171" s="286" t="s">
        <v>909</v>
      </c>
      <c r="D171" s="1955"/>
      <c r="E171" s="1956"/>
      <c r="F171" s="1957"/>
      <c r="G171" s="1957"/>
      <c r="H171" s="1958"/>
      <c r="I171" s="286" t="s">
        <v>2158</v>
      </c>
      <c r="J171" s="1705"/>
      <c r="K171" s="1010"/>
      <c r="L171" s="544" t="s">
        <v>2230</v>
      </c>
      <c r="M171" s="286" t="s">
        <v>2405</v>
      </c>
      <c r="N171" s="1426"/>
      <c r="O171" s="1050"/>
      <c r="T171" s="921">
        <f>IF(OR(AND(J171&gt;0,D171&lt;&gt;""),AND(J171=0,D171&lt;&gt;""),AND($J$169&lt;=0,J171="",D171="")),1,0)</f>
        <v>1</v>
      </c>
    </row>
    <row r="172" spans="2:29" ht="82.5" customHeight="1">
      <c r="B172" s="1559" t="s">
        <v>1581</v>
      </c>
      <c r="C172" s="286" t="s">
        <v>910</v>
      </c>
      <c r="D172" s="1955"/>
      <c r="E172" s="1956"/>
      <c r="F172" s="1957"/>
      <c r="G172" s="1957"/>
      <c r="H172" s="1958"/>
      <c r="I172" s="286" t="s">
        <v>2237</v>
      </c>
      <c r="J172" s="1705"/>
      <c r="K172" s="286" t="s">
        <v>2411</v>
      </c>
      <c r="L172" s="574"/>
      <c r="M172" s="1576"/>
      <c r="N172" s="545" t="s">
        <v>2231</v>
      </c>
      <c r="O172" s="1051"/>
      <c r="T172" s="921">
        <f>IF(OR(AND(J172&gt;0,D172&lt;&gt;""),AND(J172=0,D172&lt;&gt;""),AND($J$169&lt;=0,J172="",D172="")),1,0)</f>
        <v>1</v>
      </c>
    </row>
    <row r="173" spans="2:29" ht="13.5" customHeight="1">
      <c r="B173" s="1560"/>
      <c r="C173" s="1142"/>
      <c r="D173" s="873"/>
      <c r="E173" s="1158"/>
      <c r="F173" s="874"/>
      <c r="G173" s="1053"/>
      <c r="H173" s="874"/>
      <c r="I173" s="1064"/>
      <c r="J173" s="1561"/>
      <c r="K173" s="1064"/>
      <c r="L173" s="546"/>
      <c r="M173" s="1064"/>
      <c r="N173" s="547"/>
      <c r="O173" s="1027"/>
      <c r="S173" s="109"/>
      <c r="T173" s="921"/>
    </row>
    <row r="174" spans="2:29" ht="27.6" customHeight="1" thickBot="1">
      <c r="B174" s="1562" t="s">
        <v>1206</v>
      </c>
      <c r="C174" s="1198"/>
      <c r="D174" s="270"/>
      <c r="E174" s="1156"/>
      <c r="F174" s="272"/>
      <c r="G174" s="1137"/>
      <c r="H174" s="483"/>
      <c r="I174" s="286" t="s">
        <v>1030</v>
      </c>
      <c r="J174" s="134">
        <f>J169-J171-J172</f>
        <v>0</v>
      </c>
      <c r="K174" s="286" t="s">
        <v>2406</v>
      </c>
      <c r="L174" s="1427">
        <f>L169-L172</f>
        <v>0</v>
      </c>
      <c r="M174" s="1680" t="s">
        <v>2407</v>
      </c>
      <c r="N174" s="548">
        <f>N169-N171</f>
        <v>0</v>
      </c>
      <c r="O174" s="1033"/>
      <c r="S174" s="109"/>
      <c r="T174" s="921">
        <f>IF(J174&lt;=0,1,0)</f>
        <v>1</v>
      </c>
      <c r="U174" s="920">
        <f>SUM(T160:T165,T144:T154,T142,T171:T174)</f>
        <v>18</v>
      </c>
      <c r="V174" s="925" t="s">
        <v>1243</v>
      </c>
    </row>
    <row r="175" spans="2:29" ht="12.75" customHeight="1">
      <c r="B175" s="1516"/>
      <c r="C175" s="83"/>
      <c r="D175" s="4"/>
      <c r="E175" s="83"/>
      <c r="F175" s="4"/>
      <c r="G175" s="83"/>
      <c r="H175" s="4"/>
      <c r="I175" s="83"/>
      <c r="J175" s="1517"/>
    </row>
    <row r="176" spans="2:29" ht="12.75" customHeight="1">
      <c r="B176" s="100" t="s">
        <v>237</v>
      </c>
      <c r="C176" s="1199"/>
      <c r="D176" s="99"/>
      <c r="E176" s="1115"/>
      <c r="F176" s="99"/>
      <c r="G176" s="1115"/>
      <c r="H176" s="99"/>
      <c r="I176" s="1115"/>
      <c r="J176" s="22"/>
      <c r="K176" s="83"/>
    </row>
    <row r="177" spans="2:26" ht="12.75" customHeight="1">
      <c r="B177" s="1563"/>
      <c r="C177" s="75"/>
      <c r="D177" s="83"/>
      <c r="E177" s="83"/>
      <c r="F177" s="83"/>
      <c r="G177" s="83"/>
      <c r="H177" s="83"/>
      <c r="I177" s="83"/>
      <c r="J177" s="1564"/>
    </row>
    <row r="178" spans="2:26">
      <c r="B178" s="737" t="s">
        <v>416</v>
      </c>
      <c r="C178" s="1200"/>
      <c r="D178" s="22"/>
      <c r="E178" s="1116"/>
      <c r="F178" s="667"/>
      <c r="G178" s="1116"/>
      <c r="H178" s="667"/>
      <c r="I178" s="1116"/>
      <c r="J178" s="738"/>
      <c r="K178" s="83"/>
    </row>
    <row r="179" spans="2:26" ht="23.25" customHeight="1">
      <c r="B179" s="76" t="s">
        <v>450</v>
      </c>
      <c r="C179" s="286" t="s">
        <v>985</v>
      </c>
      <c r="D179" s="1725"/>
      <c r="E179" s="1014"/>
      <c r="F179" s="1713"/>
      <c r="G179" s="1714"/>
      <c r="H179" s="1713"/>
      <c r="I179" s="1714"/>
      <c r="J179" s="1715"/>
      <c r="K179" s="1079"/>
      <c r="U179" s="175">
        <f>IF(D179="",0,1)</f>
        <v>0</v>
      </c>
    </row>
    <row r="180" spans="2:26" ht="18.75" customHeight="1">
      <c r="B180" s="76" t="s">
        <v>24</v>
      </c>
      <c r="C180" s="286" t="s">
        <v>986</v>
      </c>
      <c r="D180" s="1725"/>
      <c r="E180" s="1014"/>
      <c r="F180" s="1713"/>
      <c r="G180" s="1714"/>
      <c r="H180" s="1713"/>
      <c r="I180" s="1714"/>
      <c r="J180" s="1715"/>
      <c r="K180" s="1079"/>
      <c r="U180" s="175">
        <f>IF(D180="",0,1)</f>
        <v>0</v>
      </c>
    </row>
    <row r="181" spans="2:26" ht="14.4">
      <c r="B181" s="666" t="s">
        <v>1109</v>
      </c>
      <c r="C181" s="1201"/>
      <c r="D181" s="849">
        <f>J110</f>
        <v>0</v>
      </c>
      <c r="E181" s="1087"/>
      <c r="F181" s="1713"/>
      <c r="G181" s="1714"/>
      <c r="H181" s="1713"/>
      <c r="I181" s="1714"/>
      <c r="J181" s="1715"/>
      <c r="K181" s="1079"/>
      <c r="R181" s="479"/>
    </row>
    <row r="182" spans="2:26" ht="13.8">
      <c r="B182" s="76" t="s">
        <v>1207</v>
      </c>
      <c r="C182" s="286" t="s">
        <v>1368</v>
      </c>
      <c r="D182" s="869"/>
      <c r="E182" s="1014"/>
      <c r="F182" s="1713"/>
      <c r="G182" s="1714"/>
      <c r="H182" s="1713"/>
      <c r="I182" s="1714"/>
      <c r="J182" s="1715"/>
      <c r="K182" s="1079"/>
      <c r="U182" s="175">
        <f>IF(D182="",0,1)</f>
        <v>0</v>
      </c>
    </row>
    <row r="183" spans="2:26" ht="27.6">
      <c r="B183" s="666" t="s">
        <v>1208</v>
      </c>
      <c r="C183" s="286" t="s">
        <v>984</v>
      </c>
      <c r="D183" s="1725"/>
      <c r="E183" s="1014"/>
      <c r="F183" s="1713"/>
      <c r="G183" s="1714"/>
      <c r="H183" s="1713"/>
      <c r="I183" s="1714"/>
      <c r="J183" s="1715"/>
      <c r="K183" s="1079"/>
      <c r="U183" s="175">
        <f>IF(D183="",0,1)</f>
        <v>0</v>
      </c>
    </row>
    <row r="184" spans="2:26" ht="13.8">
      <c r="B184" s="76" t="s">
        <v>1210</v>
      </c>
      <c r="C184" s="286" t="s">
        <v>987</v>
      </c>
      <c r="D184" s="1716">
        <f>SUM(D180:D183)</f>
        <v>0</v>
      </c>
      <c r="E184" s="1717"/>
      <c r="F184" s="1713"/>
      <c r="G184" s="1714"/>
      <c r="H184" s="1713"/>
      <c r="I184" s="1714"/>
      <c r="J184" s="1715"/>
      <c r="K184" s="1079"/>
    </row>
    <row r="185" spans="2:26" ht="27.6">
      <c r="B185" s="76" t="s">
        <v>371</v>
      </c>
      <c r="C185" s="286" t="s">
        <v>988</v>
      </c>
      <c r="D185" s="1712"/>
      <c r="E185" s="1014"/>
      <c r="F185" s="1713"/>
      <c r="G185" s="1714"/>
      <c r="H185" s="1713"/>
      <c r="I185" s="1714"/>
      <c r="J185" s="1715"/>
      <c r="K185" s="1079"/>
      <c r="U185" s="175">
        <f>IF(D185="",0,1)</f>
        <v>0</v>
      </c>
    </row>
    <row r="186" spans="2:26" ht="14.4">
      <c r="B186" s="76" t="s">
        <v>43</v>
      </c>
      <c r="C186" s="1202"/>
      <c r="D186" s="77">
        <f>J104 + J135</f>
        <v>0</v>
      </c>
      <c r="E186" s="1087"/>
      <c r="F186" s="1713"/>
      <c r="G186" s="1714"/>
      <c r="H186" s="1713"/>
      <c r="I186" s="1714"/>
      <c r="J186" s="1715"/>
      <c r="K186" s="1079"/>
      <c r="R186" s="479"/>
    </row>
    <row r="187" spans="2:26" ht="96.6">
      <c r="B187" s="78" t="s">
        <v>451</v>
      </c>
      <c r="C187" s="286" t="s">
        <v>989</v>
      </c>
      <c r="D187" s="457">
        <f>IF(D186=0,0, D184/D186)</f>
        <v>0</v>
      </c>
      <c r="E187" s="286" t="s">
        <v>990</v>
      </c>
      <c r="F187" s="1962"/>
      <c r="G187" s="1963"/>
      <c r="H187" s="1964"/>
      <c r="I187" s="1964"/>
      <c r="J187" s="1965"/>
      <c r="K187" s="1080"/>
      <c r="R187" s="480"/>
      <c r="T187" s="297">
        <v>2.5</v>
      </c>
      <c r="U187" s="175">
        <f>IF(F187="",0,1)</f>
        <v>0</v>
      </c>
      <c r="V187" s="297">
        <f>SUM(U179:U185, U187)</f>
        <v>0</v>
      </c>
      <c r="W187" s="456" t="s">
        <v>419</v>
      </c>
      <c r="X187" s="453"/>
      <c r="Y187" s="453"/>
      <c r="Z187" s="453"/>
    </row>
    <row r="188" spans="2:26" ht="13.8">
      <c r="B188" s="1565"/>
      <c r="C188" s="1203"/>
      <c r="D188" s="79"/>
      <c r="E188" s="1159"/>
      <c r="F188" s="80"/>
      <c r="G188" s="1079"/>
      <c r="H188" s="80"/>
      <c r="I188" s="1079"/>
      <c r="J188" s="1566"/>
      <c r="K188" s="1079"/>
    </row>
    <row r="189" spans="2:26">
      <c r="B189" s="739" t="s">
        <v>417</v>
      </c>
      <c r="C189" s="1204"/>
      <c r="D189" s="22"/>
      <c r="E189" s="1116"/>
      <c r="F189" s="667"/>
      <c r="G189" s="1116"/>
      <c r="H189" s="667"/>
      <c r="I189" s="1116"/>
      <c r="J189" s="738"/>
      <c r="K189" s="83"/>
    </row>
    <row r="190" spans="2:26" ht="18.75" customHeight="1">
      <c r="B190" s="76" t="s">
        <v>450</v>
      </c>
      <c r="C190" s="286" t="s">
        <v>992</v>
      </c>
      <c r="D190" s="1725"/>
      <c r="E190" s="1718"/>
      <c r="F190" s="1713"/>
      <c r="G190" s="1714"/>
      <c r="H190" s="1713"/>
      <c r="I190" s="1714"/>
      <c r="J190" s="1715"/>
      <c r="K190" s="1079"/>
      <c r="S190" s="19"/>
      <c r="T190" s="176"/>
      <c r="U190" s="178">
        <f>IF(D190="",0,1)</f>
        <v>0</v>
      </c>
    </row>
    <row r="191" spans="2:26" ht="13.8">
      <c r="B191" s="76" t="s">
        <v>25</v>
      </c>
      <c r="C191" s="286" t="s">
        <v>993</v>
      </c>
      <c r="D191" s="1725"/>
      <c r="E191" s="1718"/>
      <c r="F191" s="1713"/>
      <c r="G191" s="1714"/>
      <c r="H191" s="1713"/>
      <c r="I191" s="1714"/>
      <c r="J191" s="1715"/>
      <c r="K191" s="1079"/>
      <c r="S191" s="19"/>
      <c r="T191" s="176"/>
      <c r="U191" s="178">
        <f>IF(D191="",0,1)</f>
        <v>0</v>
      </c>
    </row>
    <row r="192" spans="2:26" ht="27.6">
      <c r="B192" s="76" t="s">
        <v>1209</v>
      </c>
      <c r="C192" s="286" t="s">
        <v>75</v>
      </c>
      <c r="D192" s="869"/>
      <c r="E192" s="1719"/>
      <c r="F192" s="1720"/>
      <c r="G192" s="1721"/>
      <c r="H192" s="1720"/>
      <c r="I192" s="1721"/>
      <c r="J192" s="1722"/>
      <c r="K192" s="1079"/>
      <c r="S192" s="19"/>
      <c r="T192" s="176"/>
      <c r="U192" s="178">
        <f>IF(D192="",0,1)</f>
        <v>0</v>
      </c>
    </row>
    <row r="193" spans="2:28" ht="13.8">
      <c r="B193" s="76" t="s">
        <v>1207</v>
      </c>
      <c r="C193" s="286" t="s">
        <v>1369</v>
      </c>
      <c r="D193" s="869"/>
      <c r="E193" s="1718"/>
      <c r="F193" s="1713"/>
      <c r="G193" s="1714"/>
      <c r="H193" s="1713"/>
      <c r="I193" s="1714"/>
      <c r="J193" s="1715"/>
      <c r="K193" s="1079"/>
      <c r="T193" s="176"/>
      <c r="U193" s="178">
        <f>IF(D193="",0,1)</f>
        <v>0</v>
      </c>
    </row>
    <row r="194" spans="2:28" ht="27.6">
      <c r="B194" s="666" t="s">
        <v>1208</v>
      </c>
      <c r="C194" s="286" t="s">
        <v>991</v>
      </c>
      <c r="D194" s="1725"/>
      <c r="E194" s="1718"/>
      <c r="F194" s="1713"/>
      <c r="G194" s="1714"/>
      <c r="H194" s="1713"/>
      <c r="I194" s="1714"/>
      <c r="J194" s="1715"/>
      <c r="K194" s="1079"/>
      <c r="T194" s="176"/>
      <c r="U194" s="178">
        <f>IF(D194="",0,1)</f>
        <v>0</v>
      </c>
    </row>
    <row r="195" spans="2:28" ht="13.8">
      <c r="B195" s="76" t="s">
        <v>1210</v>
      </c>
      <c r="C195" s="286" t="s">
        <v>994</v>
      </c>
      <c r="D195" s="1716">
        <f>SUM(D191:D194)</f>
        <v>0</v>
      </c>
      <c r="E195" s="1717"/>
      <c r="F195" s="1713"/>
      <c r="G195" s="1714"/>
      <c r="H195" s="1713"/>
      <c r="I195" s="1714"/>
      <c r="J195" s="1715"/>
      <c r="K195" s="1079"/>
      <c r="S195" s="19"/>
      <c r="T195" s="176"/>
      <c r="U195" s="624"/>
    </row>
    <row r="196" spans="2:28" ht="27.6">
      <c r="B196" s="76" t="s">
        <v>452</v>
      </c>
      <c r="C196" s="286" t="s">
        <v>995</v>
      </c>
      <c r="D196" s="81">
        <f>J109</f>
        <v>0</v>
      </c>
      <c r="E196" s="1160"/>
      <c r="F196" s="1713"/>
      <c r="G196" s="1714"/>
      <c r="H196" s="1713"/>
      <c r="I196" s="1714"/>
      <c r="J196" s="1715"/>
      <c r="K196" s="1079"/>
      <c r="S196" s="19"/>
      <c r="T196" s="176"/>
      <c r="U196" s="624"/>
    </row>
    <row r="197" spans="2:28" ht="54" customHeight="1">
      <c r="B197" s="76" t="s">
        <v>411</v>
      </c>
      <c r="C197" s="286" t="s">
        <v>996</v>
      </c>
      <c r="D197" s="2022"/>
      <c r="E197" s="2023"/>
      <c r="F197" s="2024"/>
      <c r="G197" s="2024"/>
      <c r="H197" s="2024"/>
      <c r="I197" s="2024"/>
      <c r="J197" s="2025"/>
      <c r="K197" s="1081"/>
      <c r="S197" s="19"/>
      <c r="T197" s="406">
        <v>2.6</v>
      </c>
      <c r="U197" s="178">
        <f>IF(D197="",0,1)</f>
        <v>0</v>
      </c>
      <c r="V197" s="177">
        <f>SUM(U190:U197)</f>
        <v>0</v>
      </c>
      <c r="W197" s="1932" t="s">
        <v>418</v>
      </c>
      <c r="X197" s="1933"/>
      <c r="Y197" s="1933"/>
    </row>
    <row r="198" spans="2:28" ht="13.8">
      <c r="B198" s="1565"/>
      <c r="C198" s="1203"/>
      <c r="D198" s="846"/>
      <c r="E198" s="1161"/>
      <c r="F198" s="847"/>
      <c r="G198" s="1081"/>
      <c r="H198" s="847"/>
      <c r="I198" s="1081"/>
      <c r="J198" s="1567"/>
      <c r="K198" s="1081"/>
      <c r="S198" s="19"/>
      <c r="T198" s="910"/>
      <c r="U198" s="105"/>
      <c r="V198" s="911"/>
      <c r="W198" s="912"/>
      <c r="X198" s="912"/>
      <c r="Y198" s="912"/>
      <c r="Z198" s="19"/>
      <c r="AA198" s="19"/>
      <c r="AB198" s="19"/>
    </row>
    <row r="199" spans="2:28">
      <c r="B199" s="739" t="s">
        <v>1188</v>
      </c>
      <c r="C199" s="1204"/>
      <c r="D199" s="852"/>
      <c r="E199" s="1115"/>
      <c r="F199" s="852"/>
      <c r="G199" s="1115"/>
      <c r="H199" s="852"/>
      <c r="I199" s="1115"/>
      <c r="J199" s="853"/>
      <c r="K199" s="1081"/>
      <c r="S199" s="19"/>
      <c r="T199" s="910"/>
      <c r="U199" s="105"/>
      <c r="V199" s="911"/>
      <c r="W199" s="912"/>
      <c r="X199" s="912"/>
      <c r="Y199" s="912"/>
      <c r="Z199" s="19"/>
      <c r="AA199" s="19"/>
      <c r="AB199" s="19"/>
    </row>
    <row r="200" spans="2:28" ht="26.4">
      <c r="B200" s="2032" t="s">
        <v>1241</v>
      </c>
      <c r="C200" s="2033"/>
      <c r="D200" s="2034"/>
      <c r="E200" s="1479"/>
      <c r="F200" s="875" t="str">
        <f>"Balance, "&amp;TEXT(' 1A.Prop&amp;Residents'!$G$12, "m/dd/yyyy")</f>
        <v>Balance, 1/00/1900</v>
      </c>
      <c r="G200" s="875"/>
      <c r="H200" s="876" t="s">
        <v>1163</v>
      </c>
      <c r="I200" s="876"/>
      <c r="J200" s="875" t="str">
        <f>"Balance, "&amp;TEXT(' 1A.Prop&amp;Residents'!$G$13, "m/dd/yyyy")</f>
        <v>Balance, 1/00/1900</v>
      </c>
      <c r="K200" s="1011"/>
      <c r="S200" s="19"/>
      <c r="T200" s="916">
        <v>2.7</v>
      </c>
      <c r="U200" s="105"/>
      <c r="V200" s="911"/>
      <c r="W200" s="912"/>
      <c r="X200" s="912"/>
      <c r="Y200" s="912"/>
      <c r="Z200" s="19"/>
      <c r="AA200" s="19"/>
      <c r="AB200" s="19"/>
    </row>
    <row r="201" spans="2:28" ht="27.6">
      <c r="B201" s="1477" t="s">
        <v>3</v>
      </c>
      <c r="C201" s="1478"/>
      <c r="D201" s="162"/>
      <c r="E201" s="286" t="s">
        <v>1388</v>
      </c>
      <c r="F201" s="1723"/>
      <c r="G201" s="286" t="s">
        <v>1390</v>
      </c>
      <c r="H201" s="877">
        <f>J201-F201</f>
        <v>0</v>
      </c>
      <c r="I201" s="286" t="s">
        <v>1389</v>
      </c>
      <c r="J201" s="1648"/>
      <c r="K201" s="1010"/>
      <c r="S201" s="19"/>
      <c r="T201" s="697">
        <f t="shared" ref="T201:T206" si="240">IF(F201&lt;&gt;"",1,0)</f>
        <v>0</v>
      </c>
      <c r="U201" s="697">
        <f>IF(J201&lt;&gt;"",1,0)</f>
        <v>0</v>
      </c>
      <c r="V201" s="911"/>
      <c r="W201" s="912"/>
      <c r="X201" s="912"/>
      <c r="Y201" s="912"/>
      <c r="Z201" s="19"/>
      <c r="AA201" s="19"/>
      <c r="AB201" s="19"/>
    </row>
    <row r="202" spans="2:28" ht="27.6">
      <c r="B202" s="1477" t="s">
        <v>4</v>
      </c>
      <c r="C202" s="1478"/>
      <c r="D202" s="162"/>
      <c r="E202" s="286" t="s">
        <v>1391</v>
      </c>
      <c r="F202" s="1723"/>
      <c r="G202" s="286" t="s">
        <v>1401</v>
      </c>
      <c r="H202" s="877">
        <f t="shared" ref="H202:H206" si="241">J202-F202</f>
        <v>0</v>
      </c>
      <c r="I202" s="286" t="s">
        <v>1396</v>
      </c>
      <c r="J202" s="1648"/>
      <c r="K202" s="1010"/>
      <c r="S202" s="19"/>
      <c r="T202" s="697">
        <f t="shared" si="240"/>
        <v>0</v>
      </c>
      <c r="U202" s="697">
        <f t="shared" ref="U202:U206" si="242">IF(J202&lt;&gt;"",1,0)</f>
        <v>0</v>
      </c>
      <c r="V202" s="911"/>
      <c r="W202" s="912"/>
      <c r="X202" s="912"/>
      <c r="Y202" s="912"/>
      <c r="Z202" s="19"/>
      <c r="AA202" s="19"/>
      <c r="AB202" s="19"/>
    </row>
    <row r="203" spans="2:28" ht="27.6">
      <c r="B203" s="1477" t="s">
        <v>5</v>
      </c>
      <c r="C203" s="1478"/>
      <c r="D203" s="162"/>
      <c r="E203" s="286" t="s">
        <v>1392</v>
      </c>
      <c r="F203" s="1723"/>
      <c r="G203" s="286" t="s">
        <v>1402</v>
      </c>
      <c r="H203" s="877">
        <f t="shared" si="241"/>
        <v>0</v>
      </c>
      <c r="I203" s="286" t="s">
        <v>1397</v>
      </c>
      <c r="J203" s="1648"/>
      <c r="K203" s="1010"/>
      <c r="S203" s="19"/>
      <c r="T203" s="697">
        <f t="shared" si="240"/>
        <v>0</v>
      </c>
      <c r="U203" s="697">
        <f t="shared" si="242"/>
        <v>0</v>
      </c>
      <c r="V203" s="911"/>
      <c r="W203" s="912"/>
      <c r="X203" s="912"/>
      <c r="Y203" s="912"/>
      <c r="Z203" s="19"/>
      <c r="AA203" s="19"/>
      <c r="AB203" s="19"/>
    </row>
    <row r="204" spans="2:28" ht="27.6">
      <c r="B204" s="1477" t="s">
        <v>6</v>
      </c>
      <c r="C204" s="1478"/>
      <c r="D204" s="162"/>
      <c r="E204" s="286" t="s">
        <v>1393</v>
      </c>
      <c r="F204" s="1723"/>
      <c r="G204" s="286" t="s">
        <v>1403</v>
      </c>
      <c r="H204" s="877">
        <f t="shared" si="241"/>
        <v>0</v>
      </c>
      <c r="I204" s="286" t="s">
        <v>1398</v>
      </c>
      <c r="J204" s="1648"/>
      <c r="K204" s="1010"/>
      <c r="S204" s="19"/>
      <c r="T204" s="697">
        <f t="shared" si="240"/>
        <v>0</v>
      </c>
      <c r="U204" s="697">
        <f t="shared" si="242"/>
        <v>0</v>
      </c>
      <c r="V204" s="911"/>
      <c r="W204" s="912"/>
      <c r="X204" s="912"/>
      <c r="Y204" s="912"/>
      <c r="Z204" s="19"/>
      <c r="AA204" s="19"/>
      <c r="AB204" s="19"/>
    </row>
    <row r="205" spans="2:28" ht="32.25" customHeight="1">
      <c r="B205" s="1477" t="s">
        <v>7</v>
      </c>
      <c r="C205" s="1478"/>
      <c r="D205" s="162"/>
      <c r="E205" s="286" t="s">
        <v>1394</v>
      </c>
      <c r="F205" s="1723"/>
      <c r="G205" s="286" t="s">
        <v>1404</v>
      </c>
      <c r="H205" s="877">
        <f t="shared" si="241"/>
        <v>0</v>
      </c>
      <c r="I205" s="286" t="s">
        <v>1399</v>
      </c>
      <c r="J205" s="1648"/>
      <c r="K205" s="1010"/>
      <c r="S205" s="19"/>
      <c r="T205" s="697">
        <f t="shared" si="240"/>
        <v>0</v>
      </c>
      <c r="U205" s="697">
        <f t="shared" si="242"/>
        <v>0</v>
      </c>
      <c r="V205" s="911"/>
      <c r="W205" s="912"/>
      <c r="X205" s="912"/>
      <c r="Y205" s="912"/>
      <c r="Z205" s="19"/>
      <c r="AA205" s="19"/>
      <c r="AB205" s="19"/>
    </row>
    <row r="206" spans="2:28" ht="27.6">
      <c r="B206" s="1477" t="s">
        <v>195</v>
      </c>
      <c r="C206" s="1478"/>
      <c r="D206" s="162"/>
      <c r="E206" s="286" t="s">
        <v>1395</v>
      </c>
      <c r="F206" s="1723"/>
      <c r="G206" s="286" t="s">
        <v>1405</v>
      </c>
      <c r="H206" s="877">
        <f t="shared" si="241"/>
        <v>0</v>
      </c>
      <c r="I206" s="286" t="s">
        <v>1400</v>
      </c>
      <c r="J206" s="1648"/>
      <c r="K206" s="1010"/>
      <c r="S206" s="19"/>
      <c r="T206" s="697">
        <f t="shared" si="240"/>
        <v>0</v>
      </c>
      <c r="U206" s="697">
        <f t="shared" si="242"/>
        <v>0</v>
      </c>
      <c r="V206" s="911">
        <f>SUM(T201:U206)</f>
        <v>0</v>
      </c>
      <c r="W206" s="917" t="s">
        <v>1242</v>
      </c>
      <c r="X206" s="912"/>
      <c r="Y206" s="912"/>
      <c r="Z206" s="19"/>
      <c r="AA206" s="19"/>
      <c r="AB206" s="19"/>
    </row>
    <row r="207" spans="2:28" ht="47.25" customHeight="1">
      <c r="B207" s="2026" t="s">
        <v>1245</v>
      </c>
      <c r="C207" s="2027"/>
      <c r="D207" s="2027"/>
      <c r="E207" s="2027"/>
      <c r="F207" s="2027"/>
      <c r="G207" s="2027"/>
      <c r="H207" s="2027"/>
      <c r="I207" s="2027"/>
      <c r="J207" s="2028"/>
      <c r="K207" s="1082"/>
      <c r="S207" s="19"/>
      <c r="T207" s="910"/>
      <c r="U207" s="105"/>
      <c r="V207" s="911"/>
      <c r="W207" s="912"/>
      <c r="X207" s="912"/>
      <c r="Y207" s="912"/>
      <c r="Z207" s="19"/>
      <c r="AA207" s="19"/>
      <c r="AB207" s="19"/>
    </row>
    <row r="208" spans="2:28" ht="80.25" customHeight="1">
      <c r="B208" s="1997" t="s">
        <v>1511</v>
      </c>
      <c r="C208" s="1998"/>
      <c r="D208" s="1998"/>
      <c r="E208" s="1998"/>
      <c r="F208" s="1998"/>
      <c r="G208" s="1998"/>
      <c r="H208" s="1998"/>
      <c r="I208" s="1998"/>
      <c r="J208" s="1999"/>
      <c r="K208" s="983"/>
    </row>
    <row r="209" spans="1:24">
      <c r="B209" s="854"/>
      <c r="C209" s="262"/>
      <c r="D209" s="855" t="s">
        <v>1244</v>
      </c>
      <c r="E209" s="1117"/>
      <c r="F209" s="855"/>
      <c r="G209" s="1117"/>
      <c r="H209" s="855"/>
      <c r="I209" s="1117"/>
      <c r="J209" s="856"/>
      <c r="K209" s="983"/>
    </row>
    <row r="210" spans="1:24" ht="26.4">
      <c r="B210" s="865" t="s">
        <v>1270</v>
      </c>
      <c r="C210" s="1205"/>
      <c r="D210" s="857" t="s">
        <v>1189</v>
      </c>
      <c r="E210" s="1163"/>
      <c r="F210" s="858" t="s">
        <v>1271</v>
      </c>
      <c r="G210" s="1138"/>
      <c r="H210" s="859" t="s">
        <v>1164</v>
      </c>
      <c r="I210" s="1118"/>
      <c r="J210" s="864" t="s">
        <v>1190</v>
      </c>
      <c r="K210" s="1083"/>
      <c r="T210" s="913">
        <v>2.8</v>
      </c>
      <c r="U210" s="19"/>
      <c r="X210" s="232"/>
    </row>
    <row r="211" spans="1:24" ht="27.6">
      <c r="B211" s="866" t="s">
        <v>3</v>
      </c>
      <c r="C211" s="286" t="s">
        <v>1370</v>
      </c>
      <c r="D211" s="869"/>
      <c r="E211" s="286" t="s">
        <v>1372</v>
      </c>
      <c r="F211" s="869"/>
      <c r="G211" s="286" t="s">
        <v>1371</v>
      </c>
      <c r="H211" s="869"/>
      <c r="I211" s="869"/>
      <c r="J211" s="871">
        <f t="shared" ref="J211:J216" si="243">SUM(D211:H211)</f>
        <v>0</v>
      </c>
      <c r="K211" s="1012"/>
      <c r="T211" s="914">
        <f>IF(AND(H201&gt;0,J211=0),0,1)</f>
        <v>1</v>
      </c>
      <c r="U211" s="19"/>
      <c r="X211" s="232"/>
    </row>
    <row r="212" spans="1:24" ht="27.6">
      <c r="B212" s="866" t="s">
        <v>4</v>
      </c>
      <c r="C212" s="286" t="s">
        <v>1379</v>
      </c>
      <c r="D212" s="869"/>
      <c r="E212" s="286" t="s">
        <v>1380</v>
      </c>
      <c r="F212" s="869"/>
      <c r="G212" s="286" t="s">
        <v>1381</v>
      </c>
      <c r="H212" s="869"/>
      <c r="I212" s="869"/>
      <c r="J212" s="871">
        <f t="shared" si="243"/>
        <v>0</v>
      </c>
      <c r="K212" s="1012"/>
      <c r="T212" s="914">
        <f t="shared" ref="T212:T216" si="244">IF(AND(H202&gt;0,J212=0),0,1)</f>
        <v>1</v>
      </c>
      <c r="U212" s="19"/>
      <c r="X212" s="232"/>
    </row>
    <row r="213" spans="1:24" ht="27.6">
      <c r="B213" s="866" t="s">
        <v>5</v>
      </c>
      <c r="C213" s="286" t="s">
        <v>1373</v>
      </c>
      <c r="D213" s="869"/>
      <c r="E213" s="286" t="s">
        <v>1374</v>
      </c>
      <c r="F213" s="869"/>
      <c r="G213" s="286" t="s">
        <v>1375</v>
      </c>
      <c r="H213" s="869"/>
      <c r="I213" s="869"/>
      <c r="J213" s="871">
        <f t="shared" si="243"/>
        <v>0</v>
      </c>
      <c r="K213" s="1012"/>
      <c r="T213" s="914">
        <f t="shared" si="244"/>
        <v>1</v>
      </c>
      <c r="U213" s="19"/>
    </row>
    <row r="214" spans="1:24" ht="27.6">
      <c r="B214" s="866" t="s">
        <v>6</v>
      </c>
      <c r="C214" s="286" t="s">
        <v>1376</v>
      </c>
      <c r="D214" s="869"/>
      <c r="E214" s="286" t="s">
        <v>1377</v>
      </c>
      <c r="F214" s="869"/>
      <c r="G214" s="286" t="s">
        <v>1378</v>
      </c>
      <c r="H214" s="869"/>
      <c r="I214" s="869"/>
      <c r="J214" s="871">
        <f t="shared" si="243"/>
        <v>0</v>
      </c>
      <c r="K214" s="1012"/>
      <c r="T214" s="914">
        <f t="shared" si="244"/>
        <v>1</v>
      </c>
      <c r="U214" s="19"/>
    </row>
    <row r="215" spans="1:24" ht="41.4">
      <c r="B215" s="866" t="s">
        <v>7</v>
      </c>
      <c r="C215" s="286" t="s">
        <v>1382</v>
      </c>
      <c r="D215" s="869"/>
      <c r="E215" s="286" t="s">
        <v>1383</v>
      </c>
      <c r="F215" s="869"/>
      <c r="G215" s="286" t="s">
        <v>1384</v>
      </c>
      <c r="H215" s="869"/>
      <c r="I215" s="869"/>
      <c r="J215" s="871">
        <f t="shared" si="243"/>
        <v>0</v>
      </c>
      <c r="K215" s="1012"/>
      <c r="T215" s="914">
        <f t="shared" si="244"/>
        <v>1</v>
      </c>
      <c r="U215" s="19"/>
    </row>
    <row r="216" spans="1:24" ht="27.6">
      <c r="B216" s="866" t="s">
        <v>195</v>
      </c>
      <c r="C216" s="286" t="s">
        <v>1385</v>
      </c>
      <c r="D216" s="869"/>
      <c r="E216" s="286" t="s">
        <v>1386</v>
      </c>
      <c r="F216" s="869"/>
      <c r="G216" s="286" t="s">
        <v>1387</v>
      </c>
      <c r="H216" s="869"/>
      <c r="I216" s="869"/>
      <c r="J216" s="871">
        <f t="shared" si="243"/>
        <v>0</v>
      </c>
      <c r="K216" s="1012"/>
      <c r="T216" s="914">
        <f t="shared" si="244"/>
        <v>1</v>
      </c>
      <c r="U216" s="19"/>
    </row>
    <row r="217" spans="1:24">
      <c r="B217" s="867" t="s">
        <v>1165</v>
      </c>
      <c r="C217" s="867"/>
      <c r="D217" s="870">
        <f>SUM(D211:D216)</f>
        <v>0</v>
      </c>
      <c r="E217" s="870"/>
      <c r="F217" s="870">
        <f t="shared" ref="F217:H217" si="245">SUM(F211:F216)</f>
        <v>0</v>
      </c>
      <c r="G217" s="870"/>
      <c r="H217" s="870">
        <f t="shared" si="245"/>
        <v>0</v>
      </c>
      <c r="I217" s="1002" t="s">
        <v>1031</v>
      </c>
      <c r="J217" s="870">
        <f>SUM(J211:J216)</f>
        <v>0</v>
      </c>
      <c r="K217" s="1013"/>
      <c r="T217" s="914"/>
      <c r="U217" s="19"/>
    </row>
    <row r="218" spans="1:24" ht="13.8">
      <c r="B218" s="868" t="s">
        <v>1272</v>
      </c>
      <c r="C218" s="1206"/>
      <c r="D218" s="861"/>
      <c r="E218" s="1139"/>
      <c r="F218" s="861"/>
      <c r="G218" s="1139"/>
      <c r="H218" s="862"/>
      <c r="I218" s="1119"/>
      <c r="J218" s="863"/>
      <c r="K218" s="1084"/>
      <c r="T218" s="915"/>
      <c r="U218" s="924"/>
    </row>
    <row r="219" spans="1:24" ht="68.25" customHeight="1">
      <c r="A219" s="1484" t="s">
        <v>1032</v>
      </c>
      <c r="B219" s="1975"/>
      <c r="C219" s="1976"/>
      <c r="D219" s="1976"/>
      <c r="E219" s="1976"/>
      <c r="F219" s="1976"/>
      <c r="G219" s="1976"/>
      <c r="H219" s="1976"/>
      <c r="I219" s="1976"/>
      <c r="J219" s="1977"/>
      <c r="K219" s="1085"/>
      <c r="T219" s="914">
        <f>IF(AND(H209&gt;0,J219=0),0,1)</f>
        <v>1</v>
      </c>
    </row>
    <row r="220" spans="1:24" ht="30.75" customHeight="1">
      <c r="B220" s="1972" t="s">
        <v>1266</v>
      </c>
      <c r="C220" s="1973"/>
      <c r="D220" s="1973"/>
      <c r="E220" s="1973"/>
      <c r="F220" s="1973"/>
      <c r="G220" s="1973"/>
      <c r="H220" s="1973"/>
      <c r="I220" s="1973"/>
      <c r="J220" s="1974"/>
      <c r="K220" s="983"/>
      <c r="T220" s="914"/>
    </row>
    <row r="221" spans="1:24" ht="22.5" customHeight="1">
      <c r="B221" s="1987" t="s">
        <v>69</v>
      </c>
      <c r="C221" s="1988"/>
      <c r="D221" s="1988"/>
      <c r="E221" s="1988"/>
      <c r="F221" s="1988"/>
      <c r="G221" s="1988"/>
      <c r="H221" s="1989"/>
      <c r="I221" s="1120"/>
      <c r="J221" s="848" t="s">
        <v>241</v>
      </c>
      <c r="K221" s="1086"/>
      <c r="T221" s="914"/>
    </row>
    <row r="222" spans="1:24">
      <c r="B222" s="2007" t="s">
        <v>2453</v>
      </c>
      <c r="C222" s="2008"/>
      <c r="D222" s="2008"/>
      <c r="E222" s="2008"/>
      <c r="F222" s="2008"/>
      <c r="G222" s="2008"/>
      <c r="H222" s="2009"/>
      <c r="I222" s="1121"/>
      <c r="J222" s="849">
        <f>$F$103</f>
        <v>0</v>
      </c>
      <c r="K222" s="1087"/>
      <c r="T222" s="914"/>
    </row>
    <row r="223" spans="1:24" ht="27.6">
      <c r="B223" s="1984" t="s">
        <v>571</v>
      </c>
      <c r="C223" s="1985"/>
      <c r="D223" s="1985"/>
      <c r="E223" s="1985"/>
      <c r="F223" s="1985"/>
      <c r="G223" s="1985"/>
      <c r="H223" s="1986"/>
      <c r="I223" s="286" t="s">
        <v>1033</v>
      </c>
      <c r="J223" s="869"/>
      <c r="K223" s="1014"/>
      <c r="T223" s="914"/>
    </row>
    <row r="224" spans="1:24" ht="41.4">
      <c r="B224" s="1990" t="s">
        <v>1164</v>
      </c>
      <c r="C224" s="1991"/>
      <c r="D224" s="1991"/>
      <c r="E224" s="1991"/>
      <c r="F224" s="1991"/>
      <c r="G224" s="1991"/>
      <c r="H224" s="1992"/>
      <c r="I224" s="286" t="s">
        <v>1406</v>
      </c>
      <c r="J224" s="869"/>
      <c r="K224" s="1014"/>
      <c r="T224" s="914"/>
    </row>
    <row r="225" spans="1:22" ht="16.5" customHeight="1">
      <c r="B225" s="1981" t="s">
        <v>1084</v>
      </c>
      <c r="C225" s="1982"/>
      <c r="D225" s="1982"/>
      <c r="E225" s="1982"/>
      <c r="F225" s="1983"/>
      <c r="G225" s="1140"/>
      <c r="H225" s="268" t="s">
        <v>151</v>
      </c>
      <c r="I225" s="286" t="s">
        <v>1034</v>
      </c>
      <c r="J225" s="850">
        <f>J223+J222+J224</f>
        <v>0</v>
      </c>
      <c r="K225" s="1009"/>
      <c r="T225" s="914"/>
    </row>
    <row r="226" spans="1:22" ht="74.25" customHeight="1">
      <c r="A226" s="1485" t="s">
        <v>1035</v>
      </c>
      <c r="B226" s="1975"/>
      <c r="C226" s="1976"/>
      <c r="D226" s="1976"/>
      <c r="E226" s="1976"/>
      <c r="F226" s="1976"/>
      <c r="G226" s="1976"/>
      <c r="H226" s="1976"/>
      <c r="I226" s="1976"/>
      <c r="J226" s="1977"/>
      <c r="K226" s="1085"/>
      <c r="T226" s="914">
        <f>IF(AND(J225&gt;0,B226=0),0,1)</f>
        <v>1</v>
      </c>
    </row>
    <row r="227" spans="1:22" ht="53.25" customHeight="1">
      <c r="B227" s="851" t="s">
        <v>572</v>
      </c>
      <c r="C227" s="1207"/>
      <c r="D227" s="584" t="s">
        <v>453</v>
      </c>
      <c r="E227" s="1164"/>
      <c r="F227" s="288">
        <f>-D194</f>
        <v>0</v>
      </c>
      <c r="G227" s="1141"/>
      <c r="H227" s="585" t="s">
        <v>570</v>
      </c>
      <c r="I227" s="1004" t="s">
        <v>1036</v>
      </c>
      <c r="J227" s="134">
        <f>J217+J225</f>
        <v>0</v>
      </c>
      <c r="K227" s="1009"/>
      <c r="T227" s="914"/>
    </row>
    <row r="228" spans="1:22" ht="27" customHeight="1">
      <c r="B228" s="1741" t="s">
        <v>573</v>
      </c>
      <c r="C228" s="1742"/>
      <c r="D228" s="2000" t="str">
        <f>IF(AND(J227&lt;&gt;F227,B229=0),"In box below, explain difference in RR Withdrawal Amount and Total RR-eligible Expenditures.","")</f>
        <v/>
      </c>
      <c r="E228" s="2000"/>
      <c r="F228" s="2000"/>
      <c r="G228" s="2000"/>
      <c r="H228" s="2000"/>
      <c r="I228" s="2000"/>
      <c r="J228" s="2001"/>
      <c r="K228" s="1088"/>
      <c r="T228" s="914"/>
    </row>
    <row r="229" spans="1:22" ht="59.25" customHeight="1">
      <c r="A229" s="1205" t="s">
        <v>1037</v>
      </c>
      <c r="B229" s="1978"/>
      <c r="C229" s="1979"/>
      <c r="D229" s="1979"/>
      <c r="E229" s="1979"/>
      <c r="F229" s="1979"/>
      <c r="G229" s="1979"/>
      <c r="H229" s="1979"/>
      <c r="I229" s="1979"/>
      <c r="J229" s="1980"/>
      <c r="K229" s="1085"/>
      <c r="T229" s="914">
        <f>IF(AND(J227&lt;&gt;F227,B229=0),0,1)</f>
        <v>1</v>
      </c>
      <c r="U229" s="915">
        <f>SUM(T211:T216,T219,T226,T229)</f>
        <v>9</v>
      </c>
      <c r="V229" s="928" t="s">
        <v>1246</v>
      </c>
    </row>
    <row r="230" spans="1:22">
      <c r="B230" s="1507"/>
      <c r="C230" s="1165"/>
      <c r="D230" s="56"/>
      <c r="E230" s="1146"/>
      <c r="F230" s="4"/>
      <c r="G230" s="83"/>
      <c r="H230" s="4"/>
      <c r="I230" s="83"/>
      <c r="J230" s="1517"/>
      <c r="K230" s="83"/>
      <c r="S230" s="109"/>
    </row>
    <row r="231" spans="1:22">
      <c r="B231" s="100" t="s">
        <v>239</v>
      </c>
      <c r="C231" s="1199"/>
      <c r="D231" s="99"/>
      <c r="E231" s="1115"/>
      <c r="F231" s="99"/>
      <c r="G231" s="1115"/>
      <c r="H231" s="99"/>
      <c r="I231" s="1115"/>
      <c r="J231" s="22"/>
      <c r="K231" s="83"/>
      <c r="S231" s="109"/>
    </row>
    <row r="232" spans="1:22" ht="23.25" customHeight="1">
      <c r="B232" s="1966" t="s">
        <v>421</v>
      </c>
      <c r="C232" s="1967"/>
      <c r="D232" s="1967"/>
      <c r="E232" s="1967"/>
      <c r="F232" s="1967"/>
      <c r="G232" s="1967"/>
      <c r="H232" s="1967"/>
      <c r="I232" s="1967"/>
      <c r="J232" s="1968"/>
      <c r="K232" s="983"/>
      <c r="S232" s="109"/>
    </row>
    <row r="233" spans="1:22" ht="20.25" customHeight="1">
      <c r="B233" s="1969"/>
      <c r="C233" s="1970"/>
      <c r="D233" s="1970"/>
      <c r="E233" s="1970"/>
      <c r="F233" s="1970"/>
      <c r="G233" s="1970"/>
      <c r="H233" s="1970"/>
      <c r="I233" s="1970"/>
      <c r="J233" s="1971"/>
      <c r="K233" s="983"/>
      <c r="S233" s="109"/>
    </row>
    <row r="234" spans="1:22" ht="20.25" customHeight="1">
      <c r="B234" s="560" t="s">
        <v>376</v>
      </c>
      <c r="C234" s="998"/>
      <c r="D234" s="1481"/>
      <c r="E234" s="1481"/>
      <c r="F234" s="1481"/>
      <c r="G234" s="1481"/>
      <c r="H234" s="1481"/>
      <c r="I234" s="1481"/>
      <c r="J234" s="1482"/>
      <c r="K234" s="983"/>
      <c r="S234" s="109"/>
    </row>
    <row r="235" spans="1:22" ht="20.25" customHeight="1">
      <c r="B235" s="417" t="s">
        <v>57</v>
      </c>
      <c r="C235" s="999"/>
      <c r="D235" s="262"/>
      <c r="E235" s="262"/>
      <c r="F235" s="262"/>
      <c r="G235" s="262"/>
      <c r="H235" s="262"/>
      <c r="I235" s="262"/>
      <c r="J235" s="263"/>
      <c r="K235" s="983"/>
      <c r="S235" s="109"/>
    </row>
    <row r="236" spans="1:22" ht="20.25" customHeight="1">
      <c r="B236" s="1480"/>
      <c r="C236" s="1481"/>
      <c r="D236" s="4"/>
      <c r="E236" s="83"/>
      <c r="F236" s="4"/>
      <c r="G236" s="83"/>
      <c r="H236" s="4"/>
      <c r="I236" s="83"/>
      <c r="J236" s="1517"/>
      <c r="S236" s="109"/>
    </row>
    <row r="237" spans="1:22" ht="13.8">
      <c r="B237" s="1568" t="s">
        <v>240</v>
      </c>
      <c r="C237" s="84"/>
      <c r="D237" s="4"/>
      <c r="E237" s="83"/>
      <c r="F237" s="4"/>
      <c r="G237" s="83"/>
      <c r="H237" s="4"/>
      <c r="I237" s="83"/>
      <c r="J237" s="1517"/>
      <c r="S237" s="109"/>
    </row>
    <row r="238" spans="1:22" ht="55.2">
      <c r="B238" s="458" t="str">
        <f>"Proposed amounts to be used to fund eligible CDBG activities as described in the Federal CDBG Program Regulations at 24 CFR 570.201-206 and consistent with the City’s 2015-2019 Consolidated Plan, "&amp;'Completeness Tracker'!$O$40&amp;"-"&amp;'Completeness Tracker'!O40+1&amp;" Action Plans as follows:"</f>
        <v>Proposed amounts to be used to fund eligible CDBG activities as described in the Federal CDBG Program Regulations at 24 CFR 570.201-206 and consistent with the City’s 2015-2019 Consolidated Plan, 2018-2019 Action Plans as follows:</v>
      </c>
      <c r="C238" s="86"/>
      <c r="D238" s="459" t="s">
        <v>257</v>
      </c>
      <c r="E238" s="1001"/>
      <c r="F238" s="1954" t="s">
        <v>111</v>
      </c>
      <c r="G238" s="1954"/>
      <c r="H238" s="1954"/>
      <c r="I238" s="1954"/>
      <c r="J238" s="1954"/>
      <c r="K238" s="1089"/>
      <c r="S238" s="109"/>
    </row>
    <row r="239" spans="1:22" ht="41.4">
      <c r="B239" s="86" t="s">
        <v>107</v>
      </c>
      <c r="C239" s="286" t="s">
        <v>999</v>
      </c>
      <c r="D239" s="1724"/>
      <c r="E239" s="286" t="s">
        <v>1000</v>
      </c>
      <c r="F239" s="1947"/>
      <c r="G239" s="1948"/>
      <c r="H239" s="1948"/>
      <c r="I239" s="1948"/>
      <c r="J239" s="1949"/>
      <c r="K239" s="1015"/>
      <c r="S239" s="133"/>
    </row>
    <row r="240" spans="1:22" ht="41.4">
      <c r="B240" s="86" t="s">
        <v>108</v>
      </c>
      <c r="C240" s="286" t="s">
        <v>1001</v>
      </c>
      <c r="D240" s="1724"/>
      <c r="E240" s="286" t="s">
        <v>1002</v>
      </c>
      <c r="F240" s="1947"/>
      <c r="G240" s="1948"/>
      <c r="H240" s="1948"/>
      <c r="I240" s="1948"/>
      <c r="J240" s="1949"/>
      <c r="K240" s="1015"/>
      <c r="S240" s="133"/>
    </row>
    <row r="241" spans="2:22" ht="41.4">
      <c r="B241" s="86" t="s">
        <v>109</v>
      </c>
      <c r="C241" s="286" t="s">
        <v>1003</v>
      </c>
      <c r="D241" s="1724"/>
      <c r="E241" s="286" t="s">
        <v>1004</v>
      </c>
      <c r="F241" s="1947"/>
      <c r="G241" s="1948"/>
      <c r="H241" s="1948"/>
      <c r="I241" s="1948"/>
      <c r="J241" s="1949"/>
      <c r="K241" s="1015"/>
      <c r="S241" s="133"/>
    </row>
    <row r="242" spans="2:22" ht="41.4">
      <c r="B242" s="86" t="str">
        <f>"Amount to be deposited for use on future eligible CDBG activities that will be undertaken by June 30, "&amp;'Completeness Tracker'!O40-1&amp;" (provide amount in cell to the right, and activity description and regulation citation in column furthest to the right):"</f>
        <v>Amount to be deposited for use on future eligible CDBG activities that will be undertaken by June 30, 2017 (provide amount in cell to the right, and activity description and regulation citation in column furthest to the right):</v>
      </c>
      <c r="C242" s="286" t="s">
        <v>1005</v>
      </c>
      <c r="D242" s="1724"/>
      <c r="E242" s="286" t="s">
        <v>1006</v>
      </c>
      <c r="F242" s="1947"/>
      <c r="G242" s="1948"/>
      <c r="H242" s="1948"/>
      <c r="I242" s="1948"/>
      <c r="J242" s="1949"/>
      <c r="K242" s="1015"/>
      <c r="S242" s="133"/>
    </row>
    <row r="243" spans="2:22" ht="27.6">
      <c r="B243" s="86" t="s">
        <v>110</v>
      </c>
      <c r="C243" s="286" t="s">
        <v>1007</v>
      </c>
      <c r="D243" s="1724"/>
      <c r="E243" s="286" t="s">
        <v>1008</v>
      </c>
      <c r="F243" s="1947"/>
      <c r="G243" s="1948"/>
      <c r="H243" s="1948"/>
      <c r="I243" s="1948"/>
      <c r="J243" s="1949"/>
      <c r="K243" s="1015"/>
      <c r="S243" s="133"/>
    </row>
    <row r="244" spans="2:22" ht="33" customHeight="1">
      <c r="B244" s="85" t="s">
        <v>420</v>
      </c>
      <c r="C244" s="286" t="s">
        <v>997</v>
      </c>
      <c r="D244" s="1724"/>
      <c r="E244" s="286" t="s">
        <v>998</v>
      </c>
      <c r="F244" s="1950"/>
      <c r="G244" s="1951"/>
      <c r="H244" s="1952"/>
      <c r="I244" s="1952"/>
      <c r="J244" s="1953"/>
      <c r="K244" s="1016"/>
      <c r="S244" s="109"/>
      <c r="T244" s="401">
        <v>2.9</v>
      </c>
      <c r="U244" s="408" t="str">
        <f>IF(SUM(J171:J172)&gt;0,IF('5.Financing'!B24&gt;0,"needed","n/a"),"n/a")</f>
        <v>n/a</v>
      </c>
      <c r="V244" s="408">
        <f>IF(D244="",0,1)</f>
        <v>0</v>
      </c>
    </row>
    <row r="245" spans="2:22" ht="30.75" customHeight="1">
      <c r="B245" s="1943" t="str">
        <f>"To ensure the eligible use of CDBG Program Income, the recipient of federal CDBG funding hereby requests approval by the Mayor’s Office of Housing and Community Development for the use of CDBG program income received during the "&amp;'Completeness Tracker'!$O$40&amp; " reporting period as depicted above."</f>
        <v>To ensure the eligible use of CDBG Program Income, the recipient of federal CDBG funding hereby requests approval by the Mayor’s Office of Housing and Community Development for the use of CDBG program income received during the 2018 reporting period as depicted above.</v>
      </c>
      <c r="C245" s="1944"/>
      <c r="D245" s="1945"/>
      <c r="E245" s="1945"/>
      <c r="F245" s="1945"/>
      <c r="G245" s="1945"/>
      <c r="H245" s="1945"/>
      <c r="I245" s="1945"/>
      <c r="J245" s="1946"/>
      <c r="K245" s="1017"/>
      <c r="S245" s="109"/>
    </row>
    <row r="246" spans="2:22" ht="21">
      <c r="B246" s="147" t="s">
        <v>176</v>
      </c>
      <c r="C246" s="1208"/>
      <c r="D246" s="56"/>
      <c r="E246" s="1146"/>
      <c r="F246" s="4"/>
      <c r="G246" s="83"/>
      <c r="H246" s="4"/>
      <c r="I246" s="83"/>
      <c r="J246" s="4"/>
      <c r="K246" s="83"/>
      <c r="S246" s="109"/>
    </row>
    <row r="247" spans="2:22">
      <c r="B247" s="4"/>
      <c r="C247" s="83"/>
      <c r="D247" s="56"/>
      <c r="E247" s="1146"/>
      <c r="F247" s="4"/>
      <c r="G247" s="83"/>
      <c r="H247" s="4"/>
      <c r="I247" s="83"/>
      <c r="J247" s="4"/>
      <c r="K247" s="83"/>
      <c r="S247" s="109"/>
    </row>
    <row r="248" spans="2:22" hidden="1">
      <c r="B248" s="4"/>
      <c r="C248" s="83"/>
      <c r="D248" s="56"/>
      <c r="E248" s="1146"/>
      <c r="F248" s="4"/>
      <c r="G248" s="83"/>
      <c r="H248" s="4"/>
      <c r="I248" s="83"/>
      <c r="J248" s="4"/>
      <c r="K248" s="83"/>
      <c r="S248" s="109"/>
    </row>
    <row r="249" spans="2:22" hidden="1">
      <c r="B249" s="4"/>
      <c r="C249" s="83"/>
      <c r="D249" s="56"/>
      <c r="E249" s="1146"/>
      <c r="F249" s="4"/>
      <c r="G249" s="83"/>
      <c r="H249" s="4"/>
      <c r="I249" s="83"/>
      <c r="J249" s="4"/>
      <c r="K249" s="83"/>
      <c r="S249" s="109"/>
    </row>
    <row r="250" spans="2:22" hidden="1">
      <c r="B250" s="4"/>
      <c r="C250" s="83"/>
      <c r="D250" s="56"/>
      <c r="E250" s="1146"/>
      <c r="F250" s="4"/>
      <c r="G250" s="83"/>
      <c r="H250" s="4"/>
      <c r="I250" s="83"/>
      <c r="J250" s="4"/>
      <c r="K250" s="83"/>
      <c r="S250" s="109"/>
    </row>
    <row r="251" spans="2:22" hidden="1">
      <c r="B251" s="4"/>
      <c r="C251" s="83"/>
      <c r="D251" s="56"/>
      <c r="E251" s="1146"/>
      <c r="F251" s="4"/>
      <c r="G251" s="83"/>
      <c r="H251" s="4"/>
      <c r="I251" s="83"/>
      <c r="J251" s="4"/>
      <c r="K251" s="83"/>
      <c r="S251" s="109"/>
    </row>
    <row r="252" spans="2:22" hidden="1">
      <c r="B252" s="4"/>
      <c r="C252" s="83"/>
      <c r="D252" s="56"/>
      <c r="E252" s="1146"/>
      <c r="F252" s="4"/>
      <c r="G252" s="83"/>
      <c r="H252" s="4"/>
      <c r="I252" s="83"/>
      <c r="J252" s="4"/>
      <c r="K252" s="83"/>
      <c r="S252" s="109"/>
    </row>
    <row r="253" spans="2:22" hidden="1">
      <c r="B253" s="4"/>
      <c r="C253" s="83"/>
      <c r="D253" s="56"/>
      <c r="E253" s="1146"/>
      <c r="F253" s="4"/>
      <c r="G253" s="83"/>
      <c r="H253" s="4"/>
      <c r="I253" s="83"/>
      <c r="J253" s="4"/>
      <c r="K253" s="83"/>
      <c r="S253" s="109"/>
    </row>
    <row r="254" spans="2:22" hidden="1">
      <c r="B254" s="4"/>
      <c r="C254" s="83"/>
      <c r="D254" s="56"/>
      <c r="E254" s="1146"/>
      <c r="F254" s="4"/>
      <c r="G254" s="83"/>
      <c r="H254" s="4"/>
      <c r="I254" s="83"/>
      <c r="J254" s="4"/>
      <c r="K254" s="83"/>
      <c r="S254" s="109"/>
    </row>
    <row r="255" spans="2:22" hidden="1">
      <c r="B255" s="4"/>
      <c r="C255" s="83"/>
      <c r="D255" s="56"/>
      <c r="E255" s="1146"/>
      <c r="F255" s="4"/>
      <c r="G255" s="83"/>
      <c r="H255" s="4"/>
      <c r="I255" s="83"/>
      <c r="J255" s="4"/>
      <c r="K255" s="83"/>
      <c r="S255" s="109"/>
    </row>
    <row r="256" spans="2:22" hidden="1">
      <c r="B256" s="4"/>
      <c r="C256" s="83"/>
      <c r="D256" s="56"/>
      <c r="E256" s="1146"/>
      <c r="F256" s="4"/>
      <c r="G256" s="83"/>
      <c r="H256" s="4"/>
      <c r="I256" s="83"/>
      <c r="J256" s="4"/>
      <c r="K256" s="83"/>
      <c r="S256" s="109"/>
    </row>
    <row r="257" spans="2:19" hidden="1">
      <c r="B257" s="4"/>
      <c r="C257" s="83"/>
      <c r="D257" s="56"/>
      <c r="E257" s="1146"/>
      <c r="F257" s="4"/>
      <c r="G257" s="83"/>
      <c r="H257" s="4"/>
      <c r="I257" s="83"/>
      <c r="J257" s="4"/>
      <c r="K257" s="83"/>
      <c r="S257" s="109"/>
    </row>
    <row r="258" spans="2:19" hidden="1">
      <c r="B258" s="4"/>
      <c r="C258" s="83"/>
      <c r="D258" s="56"/>
      <c r="E258" s="1146"/>
      <c r="F258" s="4"/>
      <c r="G258" s="83"/>
      <c r="H258" s="4"/>
      <c r="I258" s="83"/>
      <c r="J258" s="4"/>
      <c r="K258" s="83"/>
      <c r="S258" s="109"/>
    </row>
    <row r="259" spans="2:19" hidden="1">
      <c r="B259" s="4"/>
      <c r="C259" s="83"/>
      <c r="D259" s="56"/>
      <c r="E259" s="1146"/>
      <c r="F259" s="4"/>
      <c r="G259" s="83"/>
      <c r="H259" s="4"/>
      <c r="I259" s="83"/>
      <c r="J259" s="4"/>
      <c r="K259" s="83"/>
      <c r="S259" s="109"/>
    </row>
    <row r="260" spans="2:19" hidden="1">
      <c r="B260" s="4"/>
      <c r="C260" s="83"/>
      <c r="D260" s="56"/>
      <c r="E260" s="1146"/>
      <c r="F260" s="4"/>
      <c r="G260" s="83"/>
      <c r="H260" s="4"/>
      <c r="I260" s="83"/>
      <c r="J260" s="4"/>
      <c r="K260" s="83"/>
    </row>
    <row r="261" spans="2:19" hidden="1">
      <c r="B261" s="4"/>
      <c r="C261" s="83"/>
      <c r="D261" s="56"/>
      <c r="E261" s="1146"/>
      <c r="F261" s="4"/>
      <c r="G261" s="83"/>
      <c r="H261" s="4"/>
      <c r="I261" s="83"/>
      <c r="J261" s="4"/>
      <c r="K261" s="83"/>
    </row>
    <row r="262" spans="2:19" hidden="1">
      <c r="B262" s="4"/>
      <c r="C262" s="83"/>
      <c r="D262" s="56"/>
      <c r="E262" s="1146"/>
      <c r="F262" s="4"/>
      <c r="G262" s="83"/>
      <c r="H262" s="4"/>
      <c r="I262" s="83"/>
      <c r="J262" s="4"/>
      <c r="K262" s="83"/>
    </row>
    <row r="263" spans="2:19" hidden="1">
      <c r="B263" s="4"/>
      <c r="C263" s="83"/>
      <c r="D263" s="56"/>
      <c r="E263" s="1146"/>
      <c r="F263" s="4"/>
      <c r="G263" s="83"/>
      <c r="H263" s="4"/>
      <c r="I263" s="83"/>
      <c r="J263" s="4"/>
      <c r="K263" s="83"/>
    </row>
    <row r="264" spans="2:19" hidden="1">
      <c r="B264" s="4"/>
      <c r="C264" s="83"/>
      <c r="D264" s="56"/>
      <c r="E264" s="1146"/>
      <c r="F264" s="4"/>
      <c r="G264" s="83"/>
      <c r="H264" s="4"/>
      <c r="I264" s="83"/>
      <c r="J264" s="4"/>
      <c r="K264" s="83"/>
    </row>
    <row r="265" spans="2:19" hidden="1">
      <c r="B265" s="4"/>
      <c r="C265" s="83"/>
      <c r="D265" s="56"/>
      <c r="E265" s="1146"/>
      <c r="F265" s="4"/>
      <c r="G265" s="83"/>
      <c r="H265" s="4"/>
      <c r="I265" s="83"/>
      <c r="J265" s="4"/>
      <c r="K265" s="83"/>
    </row>
    <row r="266" spans="2:19" hidden="1">
      <c r="B266" s="4"/>
      <c r="C266" s="83"/>
      <c r="D266" s="56"/>
      <c r="E266" s="1146"/>
      <c r="F266" s="4"/>
      <c r="G266" s="83"/>
      <c r="H266" s="4"/>
      <c r="I266" s="83"/>
      <c r="J266" s="4"/>
      <c r="K266" s="83"/>
    </row>
    <row r="267" spans="2:19" hidden="1">
      <c r="B267" s="4"/>
      <c r="C267" s="83"/>
      <c r="D267" s="56"/>
      <c r="E267" s="1146"/>
      <c r="F267" s="4"/>
      <c r="G267" s="83"/>
      <c r="H267" s="4"/>
      <c r="I267" s="83"/>
      <c r="J267" s="4"/>
      <c r="K267" s="83"/>
    </row>
    <row r="268" spans="2:19" hidden="1">
      <c r="B268" s="4"/>
      <c r="C268" s="83"/>
      <c r="D268" s="56"/>
      <c r="E268" s="1146"/>
      <c r="F268" s="4"/>
      <c r="G268" s="83"/>
      <c r="H268" s="4"/>
      <c r="I268" s="83"/>
      <c r="J268" s="4"/>
      <c r="K268" s="83"/>
    </row>
    <row r="269" spans="2:19" hidden="1">
      <c r="B269" s="4"/>
      <c r="C269" s="83"/>
      <c r="D269" s="56"/>
      <c r="E269" s="1146"/>
      <c r="F269" s="4"/>
      <c r="G269" s="83"/>
      <c r="H269" s="4"/>
      <c r="I269" s="83"/>
      <c r="J269" s="4"/>
      <c r="K269" s="83"/>
    </row>
    <row r="270" spans="2:19" hidden="1">
      <c r="B270" s="4"/>
      <c r="C270" s="83"/>
      <c r="D270" s="56"/>
      <c r="E270" s="1146"/>
      <c r="F270" s="4"/>
      <c r="G270" s="83"/>
      <c r="H270" s="4"/>
      <c r="I270" s="83"/>
      <c r="J270" s="4"/>
      <c r="K270" s="83"/>
    </row>
    <row r="271" spans="2:19" hidden="1">
      <c r="B271" s="4"/>
      <c r="C271" s="83"/>
      <c r="D271" s="56"/>
      <c r="E271" s="1146"/>
      <c r="F271" s="4"/>
      <c r="G271" s="83"/>
      <c r="H271" s="4"/>
      <c r="I271" s="83"/>
      <c r="J271" s="4"/>
      <c r="K271" s="83"/>
    </row>
    <row r="272" spans="2:19" hidden="1">
      <c r="B272" s="4"/>
      <c r="C272" s="83"/>
      <c r="D272" s="56"/>
      <c r="E272" s="1146"/>
      <c r="F272" s="4"/>
      <c r="G272" s="83"/>
      <c r="H272" s="4"/>
      <c r="I272" s="83"/>
      <c r="J272" s="4"/>
      <c r="K272" s="83"/>
    </row>
    <row r="273" spans="2:11" hidden="1">
      <c r="B273" s="4"/>
      <c r="C273" s="83"/>
      <c r="D273" s="56"/>
      <c r="E273" s="1146"/>
      <c r="F273" s="4"/>
      <c r="G273" s="83"/>
      <c r="H273" s="4"/>
      <c r="I273" s="83"/>
      <c r="J273" s="4"/>
      <c r="K273" s="83"/>
    </row>
    <row r="274" spans="2:11" hidden="1">
      <c r="B274" s="4"/>
      <c r="C274" s="83"/>
      <c r="D274" s="56"/>
      <c r="E274" s="1146"/>
      <c r="F274" s="4"/>
      <c r="G274" s="83"/>
      <c r="H274" s="4"/>
      <c r="I274" s="83"/>
      <c r="J274" s="4"/>
      <c r="K274" s="83"/>
    </row>
    <row r="275" spans="2:11" hidden="1">
      <c r="B275" s="4"/>
      <c r="C275" s="83"/>
      <c r="D275" s="56"/>
      <c r="E275" s="1146"/>
      <c r="F275" s="4"/>
      <c r="G275" s="83"/>
      <c r="H275" s="4"/>
      <c r="I275" s="83"/>
      <c r="J275" s="4"/>
      <c r="K275" s="83"/>
    </row>
    <row r="276" spans="2:11" hidden="1">
      <c r="B276" s="4"/>
      <c r="C276" s="83"/>
      <c r="D276" s="56"/>
      <c r="E276" s="1146"/>
      <c r="F276" s="4"/>
      <c r="G276" s="83"/>
      <c r="H276" s="4"/>
      <c r="I276" s="83"/>
      <c r="J276" s="4"/>
      <c r="K276" s="83"/>
    </row>
    <row r="277" spans="2:11" hidden="1">
      <c r="B277" s="4"/>
      <c r="C277" s="83"/>
      <c r="D277" s="56"/>
      <c r="E277" s="1146"/>
      <c r="F277" s="4"/>
      <c r="G277" s="83"/>
      <c r="H277" s="4"/>
      <c r="I277" s="83"/>
      <c r="J277" s="4"/>
      <c r="K277" s="83"/>
    </row>
    <row r="278" spans="2:11" hidden="1">
      <c r="B278" s="4"/>
      <c r="C278" s="83"/>
      <c r="D278" s="56"/>
      <c r="E278" s="1146"/>
      <c r="F278" s="4"/>
      <c r="G278" s="83"/>
      <c r="H278" s="4"/>
      <c r="I278" s="83"/>
      <c r="J278" s="4"/>
      <c r="K278" s="83"/>
    </row>
    <row r="279" spans="2:11" hidden="1">
      <c r="B279" s="4"/>
      <c r="C279" s="83"/>
      <c r="D279" s="56"/>
      <c r="E279" s="1146"/>
      <c r="F279" s="4"/>
      <c r="G279" s="83"/>
      <c r="H279" s="4"/>
      <c r="I279" s="83"/>
      <c r="J279" s="4"/>
      <c r="K279" s="83"/>
    </row>
    <row r="280" spans="2:11" hidden="1">
      <c r="B280" s="4"/>
      <c r="C280" s="83"/>
      <c r="D280" s="56"/>
      <c r="E280" s="1146"/>
      <c r="F280" s="4"/>
      <c r="G280" s="83"/>
      <c r="H280" s="4"/>
      <c r="I280" s="83"/>
      <c r="J280" s="4"/>
      <c r="K280" s="83"/>
    </row>
    <row r="281" spans="2:11" hidden="1">
      <c r="B281" s="4"/>
      <c r="C281" s="83"/>
      <c r="D281" s="56"/>
      <c r="E281" s="1146"/>
      <c r="F281" s="4"/>
      <c r="G281" s="83"/>
      <c r="H281" s="4"/>
      <c r="I281" s="83"/>
      <c r="J281" s="4"/>
      <c r="K281" s="83"/>
    </row>
    <row r="282" spans="2:11" hidden="1">
      <c r="B282" s="4"/>
      <c r="C282" s="83"/>
      <c r="D282" s="56"/>
      <c r="E282" s="1146"/>
      <c r="F282" s="4"/>
      <c r="G282" s="83"/>
      <c r="H282" s="4"/>
      <c r="I282" s="83"/>
      <c r="J282" s="4"/>
      <c r="K282" s="83"/>
    </row>
    <row r="283" spans="2:11" hidden="1">
      <c r="B283" s="4"/>
      <c r="C283" s="83"/>
      <c r="D283" s="56"/>
      <c r="E283" s="1146"/>
      <c r="F283" s="4"/>
      <c r="G283" s="83"/>
      <c r="H283" s="4"/>
      <c r="I283" s="83"/>
      <c r="J283" s="4"/>
      <c r="K283" s="83"/>
    </row>
    <row r="284" spans="2:11" hidden="1">
      <c r="B284" s="4"/>
      <c r="C284" s="83"/>
      <c r="D284" s="56"/>
      <c r="E284" s="1146"/>
      <c r="F284" s="4"/>
      <c r="G284" s="83"/>
      <c r="H284" s="4"/>
      <c r="I284" s="83"/>
      <c r="J284" s="4"/>
      <c r="K284" s="83"/>
    </row>
    <row r="285" spans="2:11" hidden="1">
      <c r="B285" s="4"/>
      <c r="C285" s="83"/>
      <c r="D285" s="56"/>
      <c r="E285" s="1146"/>
      <c r="F285" s="4"/>
      <c r="G285" s="83"/>
      <c r="H285" s="4"/>
      <c r="I285" s="83"/>
      <c r="J285" s="4"/>
      <c r="K285" s="83"/>
    </row>
    <row r="286" spans="2:11" hidden="1">
      <c r="B286" s="4"/>
      <c r="C286" s="83"/>
      <c r="D286" s="56"/>
      <c r="E286" s="1146"/>
      <c r="F286" s="4"/>
      <c r="G286" s="83"/>
      <c r="H286" s="4"/>
      <c r="I286" s="83"/>
      <c r="J286" s="4"/>
      <c r="K286" s="83"/>
    </row>
    <row r="287" spans="2:11" hidden="1">
      <c r="B287" s="4"/>
      <c r="C287" s="83"/>
      <c r="D287" s="56"/>
      <c r="E287" s="1146"/>
      <c r="F287" s="4"/>
      <c r="G287" s="83"/>
      <c r="H287" s="4"/>
      <c r="I287" s="83"/>
      <c r="J287" s="4"/>
      <c r="K287" s="83"/>
    </row>
    <row r="288" spans="2:11" hidden="1">
      <c r="B288" s="4"/>
      <c r="C288" s="83"/>
      <c r="D288" s="56"/>
      <c r="E288" s="1146"/>
      <c r="F288" s="4"/>
      <c r="G288" s="83"/>
      <c r="H288" s="4"/>
      <c r="I288" s="83"/>
      <c r="J288" s="4"/>
      <c r="K288" s="83"/>
    </row>
    <row r="289" spans="2:11" hidden="1">
      <c r="B289" s="4"/>
      <c r="C289" s="83"/>
      <c r="D289" s="56"/>
      <c r="E289" s="1146"/>
      <c r="F289" s="4"/>
      <c r="G289" s="83"/>
      <c r="H289" s="4"/>
      <c r="I289" s="83"/>
      <c r="J289" s="4"/>
      <c r="K289" s="83"/>
    </row>
    <row r="290" spans="2:11" hidden="1">
      <c r="B290" s="4"/>
      <c r="C290" s="83"/>
      <c r="D290" s="56"/>
      <c r="E290" s="1146"/>
      <c r="F290" s="4"/>
      <c r="G290" s="83"/>
      <c r="H290" s="4"/>
      <c r="I290" s="83"/>
      <c r="J290" s="4"/>
      <c r="K290" s="83"/>
    </row>
    <row r="291" spans="2:11" hidden="1">
      <c r="B291" s="4"/>
      <c r="C291" s="83"/>
      <c r="D291" s="56"/>
      <c r="E291" s="1146"/>
      <c r="F291" s="4"/>
      <c r="G291" s="83"/>
      <c r="H291" s="4"/>
      <c r="I291" s="83"/>
      <c r="J291" s="4"/>
      <c r="K291" s="83"/>
    </row>
    <row r="292" spans="2:11" hidden="1">
      <c r="B292" s="4"/>
      <c r="C292" s="83"/>
      <c r="D292" s="56"/>
      <c r="E292" s="1146"/>
      <c r="F292" s="4"/>
      <c r="G292" s="83"/>
      <c r="H292" s="4"/>
      <c r="I292" s="83"/>
      <c r="J292" s="4"/>
      <c r="K292" s="83"/>
    </row>
    <row r="293" spans="2:11" hidden="1">
      <c r="B293" s="4"/>
      <c r="C293" s="83"/>
      <c r="D293" s="56"/>
      <c r="E293" s="1146"/>
      <c r="F293" s="4"/>
      <c r="G293" s="83"/>
      <c r="H293" s="4"/>
      <c r="I293" s="83"/>
      <c r="J293" s="4"/>
      <c r="K293" s="83"/>
    </row>
    <row r="294" spans="2:11" hidden="1">
      <c r="B294" s="4"/>
      <c r="C294" s="83"/>
      <c r="D294" s="56"/>
      <c r="E294" s="1146"/>
      <c r="F294" s="4"/>
      <c r="G294" s="83"/>
      <c r="H294" s="4"/>
      <c r="I294" s="83"/>
      <c r="J294" s="4"/>
      <c r="K294" s="83"/>
    </row>
    <row r="295" spans="2:11" hidden="1">
      <c r="B295" s="4"/>
      <c r="C295" s="83"/>
      <c r="D295" s="56"/>
      <c r="E295" s="1146"/>
      <c r="F295" s="4"/>
      <c r="G295" s="83"/>
      <c r="H295" s="4"/>
      <c r="I295" s="83"/>
      <c r="J295" s="4"/>
      <c r="K295" s="83"/>
    </row>
    <row r="296" spans="2:11" hidden="1">
      <c r="B296" s="4"/>
      <c r="C296" s="83"/>
      <c r="D296" s="56"/>
      <c r="E296" s="1146"/>
      <c r="F296" s="4"/>
      <c r="G296" s="83"/>
      <c r="H296" s="4"/>
      <c r="I296" s="83"/>
      <c r="J296" s="4"/>
      <c r="K296" s="83"/>
    </row>
    <row r="297" spans="2:11" hidden="1">
      <c r="B297" s="4"/>
      <c r="C297" s="83"/>
      <c r="D297" s="56"/>
      <c r="E297" s="1146"/>
      <c r="F297" s="4"/>
      <c r="G297" s="83"/>
      <c r="H297" s="4"/>
      <c r="I297" s="83"/>
      <c r="J297" s="4"/>
      <c r="K297" s="83"/>
    </row>
    <row r="298" spans="2:11" hidden="1">
      <c r="B298" s="4"/>
      <c r="C298" s="83"/>
      <c r="D298" s="56"/>
      <c r="E298" s="1146"/>
      <c r="F298" s="4"/>
      <c r="G298" s="83"/>
      <c r="H298" s="4"/>
      <c r="I298" s="83"/>
      <c r="J298" s="4"/>
      <c r="K298" s="83"/>
    </row>
    <row r="299" spans="2:11" hidden="1">
      <c r="B299" s="4"/>
      <c r="C299" s="83"/>
      <c r="D299" s="56"/>
      <c r="E299" s="1146"/>
      <c r="F299" s="4"/>
      <c r="G299" s="83"/>
      <c r="H299" s="4"/>
      <c r="I299" s="83"/>
      <c r="J299" s="4"/>
      <c r="K299" s="83"/>
    </row>
    <row r="300" spans="2:11" hidden="1">
      <c r="B300" s="4"/>
      <c r="C300" s="83"/>
      <c r="D300" s="56"/>
      <c r="E300" s="1146"/>
      <c r="F300" s="4"/>
      <c r="G300" s="83"/>
      <c r="H300" s="4"/>
      <c r="I300" s="83"/>
      <c r="J300" s="4"/>
      <c r="K300" s="83"/>
    </row>
    <row r="301" spans="2:11" hidden="1">
      <c r="B301" s="4"/>
      <c r="C301" s="83"/>
      <c r="D301" s="56"/>
      <c r="E301" s="1146"/>
      <c r="F301" s="4"/>
      <c r="G301" s="83"/>
      <c r="H301" s="4"/>
      <c r="I301" s="83"/>
      <c r="J301" s="4"/>
      <c r="K301" s="83"/>
    </row>
    <row r="302" spans="2:11" hidden="1">
      <c r="B302" s="4"/>
      <c r="C302" s="83"/>
      <c r="D302" s="56"/>
      <c r="E302" s="1146"/>
      <c r="F302" s="4"/>
      <c r="G302" s="83"/>
      <c r="H302" s="4"/>
      <c r="I302" s="83"/>
      <c r="J302" s="4"/>
      <c r="K302" s="83"/>
    </row>
    <row r="303" spans="2:11" hidden="1">
      <c r="B303" s="4"/>
      <c r="C303" s="83"/>
      <c r="D303" s="56"/>
      <c r="E303" s="1146"/>
      <c r="F303" s="4"/>
      <c r="G303" s="83"/>
      <c r="H303" s="4"/>
      <c r="I303" s="83"/>
      <c r="J303" s="4"/>
      <c r="K303" s="83"/>
    </row>
    <row r="304" spans="2:11" hidden="1">
      <c r="B304" s="4"/>
      <c r="C304" s="83"/>
      <c r="D304" s="56"/>
      <c r="E304" s="1146"/>
      <c r="F304" s="4"/>
      <c r="G304" s="83"/>
      <c r="H304" s="4"/>
      <c r="I304" s="83"/>
      <c r="J304" s="4"/>
      <c r="K304" s="83"/>
    </row>
    <row r="305" spans="2:11" hidden="1">
      <c r="B305" s="4"/>
      <c r="C305" s="83"/>
      <c r="D305" s="56"/>
      <c r="E305" s="1146"/>
      <c r="F305" s="4"/>
      <c r="G305" s="83"/>
      <c r="H305" s="4"/>
      <c r="I305" s="83"/>
      <c r="J305" s="4"/>
      <c r="K305" s="83"/>
    </row>
    <row r="306" spans="2:11" hidden="1">
      <c r="B306" s="4"/>
      <c r="C306" s="83"/>
      <c r="D306" s="56"/>
      <c r="E306" s="1146"/>
      <c r="F306" s="4"/>
      <c r="G306" s="83"/>
      <c r="H306" s="4"/>
      <c r="I306" s="83"/>
      <c r="J306" s="4"/>
      <c r="K306" s="83"/>
    </row>
    <row r="307" spans="2:11" hidden="1">
      <c r="B307" s="4"/>
      <c r="C307" s="83"/>
      <c r="D307" s="56"/>
      <c r="E307" s="1146"/>
      <c r="F307" s="4"/>
      <c r="G307" s="83"/>
      <c r="H307" s="4"/>
      <c r="I307" s="83"/>
      <c r="J307" s="4"/>
      <c r="K307" s="83"/>
    </row>
    <row r="308" spans="2:11" hidden="1">
      <c r="B308" s="4"/>
      <c r="C308" s="83"/>
      <c r="D308" s="56"/>
      <c r="E308" s="1146"/>
      <c r="F308" s="4"/>
      <c r="G308" s="83"/>
      <c r="H308" s="4"/>
      <c r="I308" s="83"/>
      <c r="J308" s="4"/>
      <c r="K308" s="83"/>
    </row>
    <row r="309" spans="2:11" hidden="1">
      <c r="B309" s="4"/>
      <c r="C309" s="83"/>
      <c r="D309" s="56"/>
      <c r="E309" s="1146"/>
      <c r="F309" s="4"/>
      <c r="G309" s="83"/>
      <c r="H309" s="4"/>
      <c r="I309" s="83"/>
      <c r="J309" s="4"/>
      <c r="K309" s="83"/>
    </row>
    <row r="310" spans="2:11" hidden="1">
      <c r="B310" s="4"/>
      <c r="C310" s="83"/>
      <c r="D310" s="56"/>
      <c r="E310" s="1146"/>
      <c r="F310" s="4"/>
      <c r="G310" s="83"/>
      <c r="H310" s="4"/>
      <c r="I310" s="83"/>
      <c r="J310" s="4"/>
      <c r="K310" s="83"/>
    </row>
    <row r="311" spans="2:11" hidden="1">
      <c r="B311" s="4"/>
      <c r="C311" s="83"/>
      <c r="D311" s="56"/>
      <c r="E311" s="1146"/>
      <c r="F311" s="4"/>
      <c r="G311" s="83"/>
      <c r="H311" s="4"/>
      <c r="I311" s="83"/>
      <c r="J311" s="4"/>
      <c r="K311" s="83"/>
    </row>
    <row r="312" spans="2:11" hidden="1">
      <c r="B312" s="4"/>
      <c r="C312" s="83"/>
      <c r="D312" s="56"/>
      <c r="E312" s="1146"/>
      <c r="F312" s="4"/>
      <c r="G312" s="83"/>
      <c r="H312" s="4"/>
      <c r="I312" s="83"/>
      <c r="J312" s="4"/>
      <c r="K312" s="83"/>
    </row>
    <row r="313" spans="2:11" hidden="1">
      <c r="B313" s="4"/>
      <c r="C313" s="83"/>
      <c r="D313" s="56"/>
      <c r="E313" s="1146"/>
      <c r="F313" s="4"/>
      <c r="G313" s="83"/>
      <c r="H313" s="4"/>
      <c r="I313" s="83"/>
      <c r="J313" s="4"/>
      <c r="K313" s="83"/>
    </row>
    <row r="314" spans="2:11" hidden="1">
      <c r="B314" s="4"/>
      <c r="C314" s="83"/>
      <c r="D314" s="56"/>
      <c r="E314" s="1146"/>
      <c r="F314" s="4"/>
      <c r="G314" s="83"/>
      <c r="H314" s="4"/>
      <c r="I314" s="83"/>
      <c r="J314" s="4"/>
      <c r="K314" s="83"/>
    </row>
    <row r="315" spans="2:11" hidden="1">
      <c r="B315" s="4"/>
      <c r="C315" s="83"/>
      <c r="D315" s="56"/>
      <c r="E315" s="1146"/>
      <c r="F315" s="4"/>
      <c r="G315" s="83"/>
      <c r="H315" s="4"/>
      <c r="I315" s="83"/>
      <c r="J315" s="4"/>
      <c r="K315" s="83"/>
    </row>
    <row r="316" spans="2:11" hidden="1">
      <c r="B316" s="4"/>
      <c r="C316" s="83"/>
      <c r="D316" s="56"/>
      <c r="E316" s="1146"/>
      <c r="F316" s="4"/>
      <c r="G316" s="83"/>
      <c r="H316" s="4"/>
      <c r="I316" s="83"/>
      <c r="J316" s="4"/>
      <c r="K316" s="83"/>
    </row>
    <row r="317" spans="2:11" hidden="1">
      <c r="B317" s="4"/>
      <c r="C317" s="83"/>
      <c r="D317" s="56"/>
      <c r="E317" s="1146"/>
      <c r="F317" s="4"/>
      <c r="G317" s="83"/>
      <c r="H317" s="4"/>
      <c r="I317" s="83"/>
      <c r="J317" s="4"/>
      <c r="K317" s="83"/>
    </row>
    <row r="318" spans="2:11" hidden="1">
      <c r="B318" s="4"/>
      <c r="C318" s="83"/>
      <c r="D318" s="56"/>
      <c r="E318" s="1146"/>
      <c r="F318" s="4"/>
      <c r="G318" s="83"/>
      <c r="H318" s="4"/>
      <c r="I318" s="83"/>
      <c r="J318" s="4"/>
      <c r="K318" s="83"/>
    </row>
    <row r="319" spans="2:11" hidden="1">
      <c r="B319" s="4"/>
      <c r="C319" s="83"/>
      <c r="D319" s="56"/>
      <c r="E319" s="1146"/>
      <c r="F319" s="4"/>
      <c r="G319" s="83"/>
      <c r="H319" s="4"/>
      <c r="I319" s="83"/>
      <c r="J319" s="4"/>
      <c r="K319" s="83"/>
    </row>
    <row r="320" spans="2:11" hidden="1">
      <c r="B320" s="4"/>
      <c r="C320" s="83"/>
      <c r="D320" s="56"/>
      <c r="E320" s="1146"/>
      <c r="F320" s="4"/>
      <c r="G320" s="83"/>
      <c r="H320" s="4"/>
      <c r="I320" s="83"/>
      <c r="J320" s="4"/>
      <c r="K320" s="83"/>
    </row>
    <row r="321" spans="2:11" hidden="1">
      <c r="B321" s="4"/>
      <c r="C321" s="83"/>
      <c r="D321" s="56"/>
      <c r="E321" s="1146"/>
      <c r="F321" s="4"/>
      <c r="G321" s="83"/>
      <c r="H321" s="4"/>
      <c r="I321" s="83"/>
      <c r="J321" s="4"/>
      <c r="K321" s="83"/>
    </row>
    <row r="322" spans="2:11" hidden="1">
      <c r="B322" s="4"/>
      <c r="C322" s="83"/>
      <c r="D322" s="56"/>
      <c r="E322" s="1146"/>
      <c r="F322" s="4"/>
      <c r="G322" s="83"/>
      <c r="H322" s="4"/>
      <c r="I322" s="83"/>
      <c r="J322" s="4"/>
      <c r="K322" s="83"/>
    </row>
    <row r="323" spans="2:11" hidden="1">
      <c r="B323" s="4"/>
      <c r="C323" s="83"/>
      <c r="D323" s="56"/>
      <c r="E323" s="1146"/>
      <c r="F323" s="4"/>
      <c r="G323" s="83"/>
      <c r="H323" s="4"/>
      <c r="I323" s="83"/>
      <c r="J323" s="4"/>
      <c r="K323" s="83"/>
    </row>
    <row r="324" spans="2:11" hidden="1">
      <c r="B324" s="4"/>
      <c r="C324" s="83"/>
      <c r="D324" s="56"/>
      <c r="E324" s="1146"/>
      <c r="F324" s="4"/>
      <c r="G324" s="83"/>
      <c r="H324" s="4"/>
      <c r="I324" s="83"/>
      <c r="J324" s="4"/>
      <c r="K324" s="83"/>
    </row>
    <row r="325" spans="2:11" hidden="1">
      <c r="B325" s="4"/>
      <c r="C325" s="83"/>
      <c r="D325" s="56"/>
      <c r="E325" s="1146"/>
      <c r="F325" s="4"/>
      <c r="G325" s="83"/>
      <c r="H325" s="4"/>
      <c r="I325" s="83"/>
      <c r="J325" s="4"/>
      <c r="K325" s="83"/>
    </row>
    <row r="326" spans="2:11" hidden="1">
      <c r="B326" s="4"/>
      <c r="C326" s="83"/>
      <c r="D326" s="56"/>
      <c r="E326" s="1146"/>
      <c r="F326" s="4"/>
      <c r="G326" s="83"/>
      <c r="H326" s="4"/>
      <c r="I326" s="83"/>
      <c r="J326" s="4"/>
      <c r="K326" s="83"/>
    </row>
    <row r="327" spans="2:11" hidden="1">
      <c r="B327" s="4"/>
      <c r="C327" s="83"/>
      <c r="D327" s="56"/>
      <c r="E327" s="1146"/>
      <c r="F327" s="4"/>
      <c r="G327" s="83"/>
      <c r="H327" s="4"/>
      <c r="I327" s="83"/>
      <c r="J327" s="4"/>
      <c r="K327" s="83"/>
    </row>
    <row r="328" spans="2:11" hidden="1">
      <c r="B328" s="4"/>
      <c r="C328" s="83"/>
      <c r="D328" s="56"/>
      <c r="E328" s="1146"/>
      <c r="F328" s="4"/>
      <c r="G328" s="83"/>
      <c r="H328" s="4"/>
      <c r="I328" s="83"/>
      <c r="J328" s="4"/>
      <c r="K328" s="83"/>
    </row>
    <row r="329" spans="2:11" hidden="1">
      <c r="B329" s="4"/>
      <c r="C329" s="83"/>
      <c r="D329" s="56"/>
      <c r="E329" s="1146"/>
      <c r="F329" s="4"/>
      <c r="G329" s="83"/>
      <c r="H329" s="4"/>
      <c r="I329" s="83"/>
      <c r="J329" s="4"/>
      <c r="K329" s="83"/>
    </row>
    <row r="330" spans="2:11" hidden="1">
      <c r="B330" s="4"/>
      <c r="C330" s="83"/>
      <c r="D330" s="56"/>
      <c r="E330" s="1146"/>
      <c r="F330" s="4"/>
      <c r="G330" s="83"/>
      <c r="H330" s="4"/>
      <c r="I330" s="83"/>
      <c r="J330" s="4"/>
      <c r="K330" s="83"/>
    </row>
    <row r="331" spans="2:11" hidden="1">
      <c r="B331" s="4"/>
      <c r="C331" s="83"/>
      <c r="D331" s="56"/>
      <c r="E331" s="1146"/>
      <c r="F331" s="4"/>
      <c r="G331" s="83"/>
      <c r="H331" s="4"/>
      <c r="I331" s="83"/>
      <c r="J331" s="4"/>
      <c r="K331" s="83"/>
    </row>
    <row r="332" spans="2:11" hidden="1">
      <c r="B332" s="4"/>
      <c r="C332" s="83"/>
      <c r="D332" s="56"/>
      <c r="E332" s="1146"/>
      <c r="F332" s="4"/>
      <c r="G332" s="83"/>
      <c r="H332" s="4"/>
      <c r="I332" s="83"/>
      <c r="J332" s="4"/>
      <c r="K332" s="83"/>
    </row>
    <row r="333" spans="2:11" hidden="1">
      <c r="B333" s="4"/>
      <c r="C333" s="83"/>
      <c r="D333" s="56"/>
      <c r="E333" s="1146"/>
      <c r="F333" s="4"/>
      <c r="G333" s="83"/>
      <c r="H333" s="4"/>
      <c r="I333" s="83"/>
      <c r="J333" s="4"/>
      <c r="K333" s="83"/>
    </row>
    <row r="334" spans="2:11" hidden="1">
      <c r="B334" s="4"/>
      <c r="C334" s="83"/>
      <c r="D334" s="56"/>
      <c r="E334" s="1146"/>
      <c r="F334" s="4"/>
      <c r="G334" s="83"/>
      <c r="H334" s="4"/>
      <c r="I334" s="83"/>
      <c r="J334" s="4"/>
      <c r="K334" s="83"/>
    </row>
    <row r="335" spans="2:11" hidden="1">
      <c r="B335" s="4"/>
      <c r="C335" s="83"/>
      <c r="D335" s="56"/>
      <c r="E335" s="1146"/>
      <c r="F335" s="4"/>
      <c r="G335" s="83"/>
      <c r="H335" s="4"/>
      <c r="I335" s="83"/>
      <c r="J335" s="4"/>
      <c r="K335" s="83"/>
    </row>
    <row r="336" spans="2:11" hidden="1">
      <c r="B336" s="4"/>
      <c r="C336" s="83"/>
      <c r="D336" s="56"/>
      <c r="E336" s="1146"/>
      <c r="F336" s="4"/>
      <c r="G336" s="83"/>
      <c r="H336" s="4"/>
      <c r="I336" s="83"/>
      <c r="J336" s="4"/>
      <c r="K336" s="83"/>
    </row>
    <row r="337" spans="2:11" hidden="1">
      <c r="B337" s="4"/>
      <c r="C337" s="83"/>
      <c r="D337" s="56"/>
      <c r="E337" s="1146"/>
      <c r="F337" s="4"/>
      <c r="G337" s="83"/>
      <c r="H337" s="4"/>
      <c r="I337" s="83"/>
      <c r="J337" s="4"/>
      <c r="K337" s="83"/>
    </row>
    <row r="338" spans="2:11" hidden="1">
      <c r="B338" s="4"/>
      <c r="C338" s="83"/>
      <c r="D338" s="56"/>
      <c r="E338" s="1146"/>
      <c r="F338" s="4"/>
      <c r="G338" s="83"/>
      <c r="H338" s="4"/>
      <c r="I338" s="83"/>
      <c r="J338" s="4"/>
      <c r="K338" s="83"/>
    </row>
    <row r="339" spans="2:11" hidden="1">
      <c r="B339" s="4"/>
      <c r="C339" s="83"/>
      <c r="D339" s="56"/>
      <c r="E339" s="1146"/>
      <c r="F339" s="4"/>
      <c r="G339" s="83"/>
      <c r="H339" s="4"/>
      <c r="I339" s="83"/>
      <c r="J339" s="4"/>
      <c r="K339" s="83"/>
    </row>
    <row r="340" spans="2:11" hidden="1">
      <c r="B340" s="4"/>
      <c r="C340" s="83"/>
      <c r="D340" s="56"/>
      <c r="E340" s="1146"/>
      <c r="F340" s="4"/>
      <c r="G340" s="83"/>
      <c r="H340" s="4"/>
      <c r="I340" s="83"/>
      <c r="J340" s="4"/>
      <c r="K340" s="83"/>
    </row>
    <row r="341" spans="2:11" hidden="1">
      <c r="B341" s="4"/>
      <c r="C341" s="83"/>
      <c r="D341" s="56"/>
      <c r="E341" s="1146"/>
      <c r="F341" s="4"/>
      <c r="G341" s="83"/>
      <c r="H341" s="4"/>
      <c r="I341" s="83"/>
      <c r="J341" s="4"/>
      <c r="K341" s="83"/>
    </row>
    <row r="342" spans="2:11" hidden="1">
      <c r="B342" s="4"/>
      <c r="C342" s="83"/>
      <c r="D342" s="56"/>
      <c r="E342" s="1146"/>
      <c r="F342" s="4"/>
      <c r="G342" s="83"/>
      <c r="H342" s="4"/>
      <c r="I342" s="83"/>
      <c r="J342" s="4"/>
      <c r="K342" s="83"/>
    </row>
    <row r="343" spans="2:11" hidden="1">
      <c r="B343" s="4"/>
      <c r="C343" s="83"/>
      <c r="D343" s="56"/>
      <c r="E343" s="1146"/>
      <c r="F343" s="4"/>
      <c r="G343" s="83"/>
      <c r="H343" s="4"/>
      <c r="I343" s="83"/>
      <c r="J343" s="4"/>
      <c r="K343" s="83"/>
    </row>
    <row r="344" spans="2:11" hidden="1">
      <c r="B344" s="4"/>
      <c r="C344" s="83"/>
      <c r="D344" s="56"/>
      <c r="E344" s="1146"/>
      <c r="F344" s="4"/>
      <c r="G344" s="83"/>
      <c r="H344" s="4"/>
      <c r="I344" s="83"/>
      <c r="J344" s="4"/>
      <c r="K344" s="83"/>
    </row>
    <row r="345" spans="2:11" hidden="1">
      <c r="B345" s="4"/>
      <c r="C345" s="83"/>
      <c r="D345" s="56"/>
      <c r="E345" s="1146"/>
      <c r="F345" s="4"/>
      <c r="G345" s="83"/>
      <c r="H345" s="4"/>
      <c r="I345" s="83"/>
      <c r="J345" s="4"/>
      <c r="K345" s="83"/>
    </row>
    <row r="346" spans="2:11" hidden="1">
      <c r="B346" s="4"/>
      <c r="C346" s="83"/>
      <c r="D346" s="56"/>
      <c r="E346" s="1146"/>
      <c r="F346" s="4"/>
      <c r="G346" s="83"/>
      <c r="H346" s="4"/>
      <c r="I346" s="83"/>
      <c r="J346" s="4"/>
      <c r="K346" s="83"/>
    </row>
    <row r="347" spans="2:11" hidden="1">
      <c r="B347" s="4"/>
      <c r="C347" s="83"/>
      <c r="D347" s="56"/>
      <c r="E347" s="1146"/>
      <c r="F347" s="4"/>
      <c r="G347" s="83"/>
      <c r="H347" s="4"/>
      <c r="I347" s="83"/>
      <c r="J347" s="4"/>
      <c r="K347" s="83"/>
    </row>
    <row r="348" spans="2:11" hidden="1">
      <c r="B348" s="4"/>
      <c r="C348" s="83"/>
      <c r="D348" s="56"/>
      <c r="E348" s="1146"/>
      <c r="F348" s="4"/>
      <c r="G348" s="83"/>
      <c r="H348" s="4"/>
      <c r="I348" s="83"/>
      <c r="J348" s="4"/>
      <c r="K348" s="83"/>
    </row>
    <row r="349" spans="2:11" hidden="1">
      <c r="B349" s="4"/>
      <c r="C349" s="83"/>
      <c r="D349" s="56"/>
      <c r="E349" s="1146"/>
      <c r="F349" s="4"/>
      <c r="G349" s="83"/>
      <c r="H349" s="4"/>
      <c r="I349" s="83"/>
      <c r="J349" s="4"/>
      <c r="K349" s="83"/>
    </row>
    <row r="350" spans="2:11" hidden="1">
      <c r="B350" s="4"/>
      <c r="C350" s="83"/>
      <c r="D350" s="56"/>
      <c r="E350" s="1146"/>
      <c r="F350" s="4"/>
      <c r="G350" s="83"/>
      <c r="H350" s="4"/>
      <c r="I350" s="83"/>
      <c r="J350" s="4"/>
      <c r="K350" s="83"/>
    </row>
    <row r="351" spans="2:11" hidden="1">
      <c r="B351" s="4"/>
      <c r="C351" s="83"/>
      <c r="D351" s="56"/>
      <c r="E351" s="1146"/>
      <c r="F351" s="4"/>
      <c r="G351" s="83"/>
      <c r="H351" s="4"/>
      <c r="I351" s="83"/>
      <c r="J351" s="4"/>
      <c r="K351" s="83"/>
    </row>
    <row r="352" spans="2:11" hidden="1">
      <c r="B352" s="4"/>
      <c r="C352" s="83"/>
      <c r="D352" s="56"/>
      <c r="E352" s="1146"/>
      <c r="F352" s="4"/>
      <c r="G352" s="83"/>
      <c r="H352" s="4"/>
      <c r="I352" s="83"/>
      <c r="J352" s="4"/>
      <c r="K352" s="83"/>
    </row>
    <row r="353" spans="2:11" hidden="1">
      <c r="B353" s="4"/>
      <c r="C353" s="83"/>
      <c r="D353" s="56"/>
      <c r="E353" s="1146"/>
      <c r="F353" s="4"/>
      <c r="G353" s="83"/>
      <c r="H353" s="4"/>
      <c r="I353" s="83"/>
      <c r="J353" s="4"/>
      <c r="K353" s="83"/>
    </row>
    <row r="354" spans="2:11" hidden="1">
      <c r="B354" s="4"/>
      <c r="C354" s="83"/>
      <c r="D354" s="56"/>
      <c r="E354" s="1146"/>
      <c r="F354" s="4"/>
      <c r="G354" s="83"/>
      <c r="H354" s="4"/>
      <c r="I354" s="83"/>
      <c r="J354" s="4"/>
      <c r="K354" s="83"/>
    </row>
    <row r="355" spans="2:11" hidden="1">
      <c r="B355" s="4"/>
      <c r="C355" s="83"/>
      <c r="D355" s="56"/>
      <c r="E355" s="1146"/>
      <c r="F355" s="4"/>
      <c r="G355" s="83"/>
      <c r="H355" s="4"/>
      <c r="I355" s="83"/>
      <c r="J355" s="4"/>
      <c r="K355" s="83"/>
    </row>
    <row r="356" spans="2:11" hidden="1">
      <c r="B356" s="4"/>
      <c r="C356" s="83"/>
      <c r="D356" s="56"/>
      <c r="E356" s="1146"/>
      <c r="F356" s="4"/>
      <c r="G356" s="83"/>
      <c r="H356" s="4"/>
      <c r="I356" s="83"/>
      <c r="J356" s="4"/>
      <c r="K356" s="83"/>
    </row>
    <row r="357" spans="2:11" hidden="1">
      <c r="B357" s="4"/>
      <c r="C357" s="83"/>
      <c r="D357" s="56"/>
      <c r="E357" s="1146"/>
      <c r="F357" s="4"/>
      <c r="G357" s="83"/>
      <c r="H357" s="4"/>
      <c r="I357" s="83"/>
      <c r="J357" s="4"/>
      <c r="K357" s="83"/>
    </row>
    <row r="358" spans="2:11" hidden="1">
      <c r="B358" s="4"/>
      <c r="C358" s="83"/>
      <c r="D358" s="56"/>
      <c r="E358" s="1146"/>
      <c r="F358" s="4"/>
      <c r="G358" s="83"/>
      <c r="H358" s="4"/>
      <c r="I358" s="83"/>
      <c r="J358" s="4"/>
      <c r="K358" s="83"/>
    </row>
    <row r="359" spans="2:11" hidden="1">
      <c r="B359" s="4"/>
      <c r="C359" s="83"/>
      <c r="D359" s="56"/>
      <c r="E359" s="1146"/>
      <c r="F359" s="4"/>
      <c r="G359" s="83"/>
      <c r="H359" s="4"/>
      <c r="I359" s="83"/>
      <c r="J359" s="4"/>
      <c r="K359" s="83"/>
    </row>
    <row r="360" spans="2:11" hidden="1">
      <c r="B360" s="4"/>
      <c r="C360" s="83"/>
      <c r="D360" s="56"/>
      <c r="E360" s="1146"/>
      <c r="F360" s="4"/>
      <c r="G360" s="83"/>
      <c r="H360" s="4"/>
      <c r="I360" s="83"/>
      <c r="J360" s="4"/>
      <c r="K360" s="83"/>
    </row>
    <row r="361" spans="2:11" hidden="1">
      <c r="B361" s="4"/>
      <c r="C361" s="83"/>
      <c r="D361" s="56"/>
      <c r="E361" s="1146"/>
      <c r="F361" s="4"/>
      <c r="G361" s="83"/>
      <c r="H361" s="4"/>
      <c r="I361" s="83"/>
      <c r="J361" s="4"/>
      <c r="K361" s="83"/>
    </row>
    <row r="362" spans="2:11" hidden="1">
      <c r="B362" s="4"/>
      <c r="C362" s="83"/>
      <c r="D362" s="56"/>
      <c r="E362" s="1146"/>
      <c r="F362" s="4"/>
      <c r="G362" s="83"/>
      <c r="H362" s="4"/>
      <c r="I362" s="83"/>
      <c r="J362" s="4"/>
      <c r="K362" s="83"/>
    </row>
    <row r="363" spans="2:11" hidden="1">
      <c r="B363" s="4"/>
      <c r="C363" s="83"/>
      <c r="D363" s="56"/>
      <c r="E363" s="1146"/>
      <c r="F363" s="4"/>
      <c r="G363" s="83"/>
      <c r="H363" s="4"/>
      <c r="I363" s="83"/>
      <c r="J363" s="4"/>
      <c r="K363" s="83"/>
    </row>
    <row r="364" spans="2:11" hidden="1">
      <c r="B364" s="4"/>
      <c r="C364" s="83"/>
      <c r="D364" s="56"/>
      <c r="E364" s="1146"/>
      <c r="F364" s="4"/>
      <c r="G364" s="83"/>
      <c r="H364" s="4"/>
      <c r="I364" s="83"/>
      <c r="J364" s="4"/>
      <c r="K364" s="83"/>
    </row>
    <row r="365" spans="2:11" hidden="1">
      <c r="B365" s="4"/>
      <c r="C365" s="83"/>
      <c r="D365" s="56"/>
      <c r="E365" s="1146"/>
      <c r="F365" s="4"/>
      <c r="G365" s="83"/>
      <c r="H365" s="4"/>
      <c r="I365" s="83"/>
      <c r="J365" s="4"/>
      <c r="K365" s="83"/>
    </row>
    <row r="366" spans="2:11" hidden="1">
      <c r="B366" s="4"/>
      <c r="C366" s="83"/>
      <c r="D366" s="56"/>
      <c r="E366" s="1146"/>
      <c r="F366" s="4"/>
      <c r="G366" s="83"/>
      <c r="H366" s="4"/>
      <c r="I366" s="83"/>
      <c r="J366" s="4"/>
      <c r="K366" s="83"/>
    </row>
    <row r="367" spans="2:11" hidden="1">
      <c r="B367" s="4"/>
      <c r="C367" s="83"/>
      <c r="D367" s="56"/>
      <c r="E367" s="1146"/>
      <c r="F367" s="4"/>
      <c r="G367" s="83"/>
      <c r="H367" s="4"/>
      <c r="I367" s="83"/>
      <c r="J367" s="4"/>
      <c r="K367" s="83"/>
    </row>
    <row r="368" spans="2:11" hidden="1">
      <c r="B368" s="4"/>
      <c r="C368" s="83"/>
      <c r="D368" s="56"/>
      <c r="E368" s="1146"/>
      <c r="F368" s="4"/>
      <c r="G368" s="83"/>
      <c r="H368" s="4"/>
      <c r="I368" s="83"/>
      <c r="J368" s="4"/>
      <c r="K368" s="83"/>
    </row>
    <row r="369" spans="2:11" hidden="1">
      <c r="B369" s="4"/>
      <c r="C369" s="83"/>
      <c r="D369" s="56"/>
      <c r="E369" s="1146"/>
      <c r="F369" s="4"/>
      <c r="G369" s="83"/>
      <c r="H369" s="4"/>
      <c r="I369" s="83"/>
      <c r="J369" s="4"/>
      <c r="K369" s="83"/>
    </row>
    <row r="370" spans="2:11" hidden="1">
      <c r="B370" s="4"/>
      <c r="C370" s="83"/>
      <c r="D370" s="56"/>
      <c r="E370" s="1146"/>
      <c r="F370" s="4"/>
      <c r="G370" s="83"/>
      <c r="H370" s="4"/>
      <c r="I370" s="83"/>
      <c r="J370" s="4"/>
      <c r="K370" s="83"/>
    </row>
    <row r="371" spans="2:11" hidden="1">
      <c r="B371" s="4"/>
      <c r="C371" s="83"/>
      <c r="D371" s="56"/>
      <c r="E371" s="1146"/>
      <c r="F371" s="4"/>
      <c r="G371" s="83"/>
      <c r="H371" s="4"/>
      <c r="I371" s="83"/>
      <c r="J371" s="4"/>
      <c r="K371" s="83"/>
    </row>
    <row r="372" spans="2:11" hidden="1">
      <c r="B372" s="4"/>
      <c r="C372" s="83"/>
      <c r="D372" s="56"/>
      <c r="E372" s="1146"/>
      <c r="F372" s="4"/>
      <c r="G372" s="83"/>
      <c r="H372" s="4"/>
      <c r="I372" s="83"/>
      <c r="J372" s="4"/>
      <c r="K372" s="83"/>
    </row>
    <row r="373" spans="2:11" hidden="1">
      <c r="B373" s="4"/>
      <c r="C373" s="83"/>
      <c r="D373" s="56"/>
      <c r="E373" s="1146"/>
      <c r="F373" s="4"/>
      <c r="G373" s="83"/>
      <c r="H373" s="4"/>
      <c r="I373" s="83"/>
      <c r="J373" s="4"/>
      <c r="K373" s="83"/>
    </row>
    <row r="374" spans="2:11" hidden="1">
      <c r="B374" s="4"/>
      <c r="C374" s="83"/>
      <c r="D374" s="56"/>
      <c r="E374" s="1146"/>
      <c r="F374" s="4"/>
      <c r="G374" s="83"/>
      <c r="H374" s="4"/>
      <c r="I374" s="83"/>
      <c r="J374" s="4"/>
      <c r="K374" s="83"/>
    </row>
    <row r="375" spans="2:11" hidden="1">
      <c r="B375" s="4"/>
      <c r="C375" s="83"/>
      <c r="D375" s="56"/>
      <c r="E375" s="1146"/>
      <c r="F375" s="4"/>
      <c r="G375" s="83"/>
      <c r="H375" s="4"/>
      <c r="I375" s="83"/>
      <c r="J375" s="4"/>
      <c r="K375" s="83"/>
    </row>
    <row r="376" spans="2:11" hidden="1">
      <c r="B376" s="4"/>
      <c r="C376" s="83"/>
      <c r="D376" s="56"/>
      <c r="E376" s="1146"/>
      <c r="F376" s="4"/>
      <c r="G376" s="83"/>
      <c r="H376" s="4"/>
      <c r="I376" s="83"/>
      <c r="J376" s="4"/>
      <c r="K376" s="83"/>
    </row>
    <row r="377" spans="2:11" hidden="1">
      <c r="B377" s="4"/>
      <c r="C377" s="83"/>
      <c r="D377" s="56"/>
      <c r="E377" s="1146"/>
      <c r="F377" s="4"/>
      <c r="G377" s="83"/>
      <c r="H377" s="4"/>
      <c r="I377" s="83"/>
      <c r="J377" s="4"/>
      <c r="K377" s="83"/>
    </row>
    <row r="378" spans="2:11" hidden="1">
      <c r="B378" s="4"/>
      <c r="C378" s="83"/>
      <c r="D378" s="56"/>
      <c r="E378" s="1146"/>
      <c r="F378" s="4"/>
      <c r="G378" s="83"/>
      <c r="H378" s="4"/>
      <c r="I378" s="83"/>
      <c r="J378" s="4"/>
      <c r="K378" s="83"/>
    </row>
    <row r="379" spans="2:11" hidden="1">
      <c r="B379" s="4"/>
      <c r="C379" s="83"/>
      <c r="D379" s="56"/>
      <c r="E379" s="1146"/>
      <c r="F379" s="4"/>
      <c r="G379" s="83"/>
      <c r="H379" s="4"/>
      <c r="I379" s="83"/>
      <c r="J379" s="4"/>
      <c r="K379" s="83"/>
    </row>
    <row r="380" spans="2:11" hidden="1">
      <c r="B380" s="4"/>
      <c r="C380" s="83"/>
      <c r="D380" s="56"/>
      <c r="E380" s="1146"/>
      <c r="F380" s="4"/>
      <c r="G380" s="83"/>
      <c r="H380" s="4"/>
      <c r="I380" s="83"/>
      <c r="J380" s="4"/>
      <c r="K380" s="83"/>
    </row>
    <row r="381" spans="2:11" hidden="1">
      <c r="B381" s="4"/>
      <c r="C381" s="83"/>
      <c r="D381" s="56"/>
      <c r="E381" s="1146"/>
      <c r="F381" s="4"/>
      <c r="G381" s="83"/>
      <c r="H381" s="4"/>
      <c r="I381" s="83"/>
      <c r="J381" s="4"/>
      <c r="K381" s="83"/>
    </row>
    <row r="382" spans="2:11" hidden="1">
      <c r="B382" s="4"/>
      <c r="C382" s="83"/>
      <c r="D382" s="56"/>
      <c r="E382" s="1146"/>
      <c r="F382" s="4"/>
      <c r="G382" s="83"/>
      <c r="H382" s="4"/>
      <c r="I382" s="83"/>
      <c r="J382" s="4"/>
      <c r="K382" s="83"/>
    </row>
    <row r="383" spans="2:11" hidden="1">
      <c r="B383" s="4"/>
      <c r="C383" s="83"/>
      <c r="D383" s="56"/>
      <c r="E383" s="1146"/>
      <c r="F383" s="4"/>
      <c r="G383" s="83"/>
      <c r="H383" s="4"/>
      <c r="I383" s="83"/>
      <c r="J383" s="4"/>
      <c r="K383" s="83"/>
    </row>
    <row r="384" spans="2:11" hidden="1">
      <c r="B384" s="4"/>
      <c r="C384" s="83"/>
      <c r="D384" s="56"/>
      <c r="E384" s="1146"/>
      <c r="F384" s="4"/>
      <c r="G384" s="83"/>
      <c r="H384" s="4"/>
      <c r="I384" s="83"/>
      <c r="J384" s="4"/>
      <c r="K384" s="83"/>
    </row>
    <row r="385" spans="2:11" hidden="1">
      <c r="B385" s="4"/>
      <c r="C385" s="83"/>
      <c r="D385" s="56"/>
      <c r="E385" s="1146"/>
      <c r="F385" s="4"/>
      <c r="G385" s="83"/>
      <c r="H385" s="4"/>
      <c r="I385" s="83"/>
      <c r="J385" s="4"/>
      <c r="K385" s="83"/>
    </row>
    <row r="386" spans="2:11" hidden="1">
      <c r="B386" s="4"/>
      <c r="C386" s="83"/>
      <c r="D386" s="56"/>
      <c r="E386" s="1146"/>
      <c r="F386" s="4"/>
      <c r="G386" s="83"/>
      <c r="H386" s="4"/>
      <c r="I386" s="83"/>
      <c r="J386" s="4"/>
      <c r="K386" s="83"/>
    </row>
    <row r="387" spans="2:11" hidden="1">
      <c r="B387" s="4"/>
      <c r="C387" s="83"/>
      <c r="D387" s="56"/>
      <c r="E387" s="1146"/>
      <c r="F387" s="4"/>
      <c r="G387" s="83"/>
      <c r="H387" s="4"/>
      <c r="I387" s="83"/>
      <c r="J387" s="4"/>
      <c r="K387" s="83"/>
    </row>
    <row r="388" spans="2:11" hidden="1">
      <c r="B388" s="4"/>
      <c r="C388" s="83"/>
      <c r="D388" s="56"/>
      <c r="E388" s="1146"/>
      <c r="F388" s="4"/>
      <c r="G388" s="83"/>
      <c r="H388" s="4"/>
      <c r="I388" s="83"/>
      <c r="J388" s="4"/>
      <c r="K388" s="83"/>
    </row>
    <row r="389" spans="2:11" hidden="1">
      <c r="B389" s="4"/>
      <c r="C389" s="83"/>
      <c r="D389" s="56"/>
      <c r="E389" s="1146"/>
      <c r="F389" s="4"/>
      <c r="G389" s="83"/>
      <c r="H389" s="4"/>
      <c r="I389" s="83"/>
      <c r="J389" s="4"/>
      <c r="K389" s="83"/>
    </row>
    <row r="390" spans="2:11" hidden="1">
      <c r="B390" s="4"/>
      <c r="C390" s="83"/>
      <c r="D390" s="56"/>
      <c r="E390" s="1146"/>
      <c r="F390" s="4"/>
      <c r="G390" s="83"/>
      <c r="H390" s="4"/>
      <c r="I390" s="83"/>
      <c r="J390" s="4"/>
      <c r="K390" s="83"/>
    </row>
    <row r="391" spans="2:11" hidden="1">
      <c r="B391" s="4"/>
      <c r="C391" s="83"/>
      <c r="D391" s="56"/>
      <c r="E391" s="1146"/>
      <c r="F391" s="4"/>
      <c r="G391" s="83"/>
      <c r="H391" s="4"/>
      <c r="I391" s="83"/>
      <c r="J391" s="4"/>
      <c r="K391" s="83"/>
    </row>
    <row r="392" spans="2:11" hidden="1">
      <c r="B392" s="4"/>
      <c r="C392" s="83"/>
      <c r="D392" s="56"/>
      <c r="E392" s="1146"/>
      <c r="F392" s="4"/>
      <c r="G392" s="83"/>
      <c r="H392" s="4"/>
      <c r="I392" s="83"/>
      <c r="J392" s="4"/>
      <c r="K392" s="83"/>
    </row>
    <row r="393" spans="2:11" hidden="1">
      <c r="B393" s="4"/>
      <c r="C393" s="83"/>
      <c r="D393" s="56"/>
      <c r="E393" s="1146"/>
      <c r="F393" s="4"/>
      <c r="G393" s="83"/>
      <c r="H393" s="4"/>
      <c r="I393" s="83"/>
      <c r="J393" s="4"/>
      <c r="K393" s="83"/>
    </row>
    <row r="394" spans="2:11" hidden="1">
      <c r="B394" s="4"/>
      <c r="C394" s="83"/>
      <c r="D394" s="56"/>
      <c r="E394" s="1146"/>
      <c r="F394" s="4"/>
      <c r="G394" s="83"/>
      <c r="H394" s="4"/>
      <c r="I394" s="83"/>
      <c r="J394" s="4"/>
      <c r="K394" s="83"/>
    </row>
    <row r="395" spans="2:11" hidden="1">
      <c r="B395" s="4"/>
      <c r="C395" s="83"/>
      <c r="D395" s="56"/>
      <c r="E395" s="1146"/>
      <c r="F395" s="4"/>
      <c r="G395" s="83"/>
      <c r="H395" s="4"/>
      <c r="I395" s="83"/>
      <c r="J395" s="4"/>
      <c r="K395" s="83"/>
    </row>
    <row r="396" spans="2:11" hidden="1">
      <c r="B396" s="4"/>
      <c r="C396" s="83"/>
      <c r="D396" s="56"/>
      <c r="E396" s="1146"/>
      <c r="F396" s="4"/>
      <c r="G396" s="83"/>
      <c r="H396" s="4"/>
      <c r="I396" s="83"/>
      <c r="J396" s="4"/>
      <c r="K396" s="83"/>
    </row>
    <row r="397" spans="2:11" hidden="1">
      <c r="B397" s="4"/>
      <c r="C397" s="83"/>
      <c r="D397" s="56"/>
      <c r="E397" s="1146"/>
      <c r="F397" s="4"/>
      <c r="G397" s="83"/>
      <c r="H397" s="4"/>
      <c r="I397" s="83"/>
      <c r="J397" s="4"/>
      <c r="K397" s="83"/>
    </row>
    <row r="398" spans="2:11" hidden="1">
      <c r="B398" s="4"/>
      <c r="C398" s="83"/>
      <c r="D398" s="56"/>
      <c r="E398" s="1146"/>
      <c r="F398" s="4"/>
      <c r="G398" s="83"/>
      <c r="H398" s="4"/>
      <c r="I398" s="83"/>
      <c r="J398" s="4"/>
      <c r="K398" s="83"/>
    </row>
    <row r="399" spans="2:11" hidden="1">
      <c r="B399" s="4"/>
      <c r="C399" s="83"/>
      <c r="D399" s="56"/>
      <c r="E399" s="1146"/>
      <c r="F399" s="4"/>
      <c r="G399" s="83"/>
      <c r="H399" s="4"/>
      <c r="I399" s="83"/>
      <c r="J399" s="4"/>
      <c r="K399" s="83"/>
    </row>
    <row r="400" spans="2:11" hidden="1">
      <c r="B400" s="4"/>
      <c r="C400" s="83"/>
      <c r="D400" s="56"/>
      <c r="E400" s="1146"/>
      <c r="F400" s="4"/>
      <c r="G400" s="83"/>
      <c r="H400" s="4"/>
      <c r="I400" s="83"/>
      <c r="J400" s="4"/>
      <c r="K400" s="83"/>
    </row>
    <row r="401" spans="2:11" hidden="1">
      <c r="B401" s="4"/>
      <c r="C401" s="83"/>
      <c r="D401" s="56"/>
      <c r="E401" s="1146"/>
      <c r="F401" s="4"/>
      <c r="G401" s="83"/>
      <c r="H401" s="4"/>
      <c r="I401" s="83"/>
      <c r="J401" s="4"/>
      <c r="K401" s="83"/>
    </row>
    <row r="402" spans="2:11" hidden="1">
      <c r="B402" s="4"/>
      <c r="C402" s="83"/>
      <c r="D402" s="56"/>
      <c r="E402" s="1146"/>
      <c r="F402" s="4"/>
      <c r="G402" s="83"/>
      <c r="H402" s="4"/>
      <c r="I402" s="83"/>
      <c r="J402" s="4"/>
      <c r="K402" s="83"/>
    </row>
    <row r="403" spans="2:11" hidden="1">
      <c r="B403" s="4"/>
      <c r="C403" s="83"/>
      <c r="D403" s="56"/>
      <c r="E403" s="1146"/>
      <c r="F403" s="4"/>
      <c r="G403" s="83"/>
      <c r="H403" s="4"/>
      <c r="I403" s="83"/>
      <c r="J403" s="4"/>
      <c r="K403" s="83"/>
    </row>
    <row r="404" spans="2:11" hidden="1">
      <c r="B404" s="4"/>
      <c r="C404" s="83"/>
      <c r="D404" s="56"/>
      <c r="E404" s="1146"/>
      <c r="F404" s="4"/>
      <c r="G404" s="83"/>
      <c r="H404" s="4"/>
      <c r="I404" s="83"/>
      <c r="J404" s="4"/>
      <c r="K404" s="83"/>
    </row>
    <row r="405" spans="2:11" hidden="1">
      <c r="B405" s="4"/>
      <c r="C405" s="83"/>
      <c r="D405" s="56"/>
      <c r="E405" s="1146"/>
      <c r="F405" s="4"/>
      <c r="G405" s="83"/>
      <c r="H405" s="4"/>
      <c r="I405" s="83"/>
      <c r="J405" s="4"/>
      <c r="K405" s="83"/>
    </row>
    <row r="406" spans="2:11" hidden="1">
      <c r="B406" s="4"/>
      <c r="C406" s="83"/>
      <c r="D406" s="56"/>
      <c r="E406" s="1146"/>
      <c r="F406" s="4"/>
      <c r="G406" s="83"/>
      <c r="H406" s="4"/>
      <c r="I406" s="83"/>
      <c r="J406" s="4"/>
      <c r="K406" s="83"/>
    </row>
    <row r="407" spans="2:11" hidden="1">
      <c r="B407" s="4"/>
      <c r="C407" s="83"/>
      <c r="D407" s="56"/>
      <c r="E407" s="1146"/>
      <c r="F407" s="4"/>
      <c r="G407" s="83"/>
      <c r="H407" s="4"/>
      <c r="I407" s="83"/>
      <c r="J407" s="4"/>
      <c r="K407" s="83"/>
    </row>
    <row r="408" spans="2:11" hidden="1">
      <c r="B408" s="4"/>
      <c r="C408" s="83"/>
      <c r="D408" s="56"/>
      <c r="E408" s="1146"/>
      <c r="F408" s="4"/>
      <c r="G408" s="83"/>
      <c r="H408" s="4"/>
      <c r="I408" s="83"/>
      <c r="J408" s="4"/>
      <c r="K408" s="83"/>
    </row>
    <row r="409" spans="2:11" hidden="1">
      <c r="B409" s="4"/>
      <c r="C409" s="83"/>
      <c r="D409" s="56"/>
      <c r="E409" s="1146"/>
      <c r="F409" s="4"/>
      <c r="G409" s="83"/>
      <c r="H409" s="4"/>
      <c r="I409" s="83"/>
      <c r="J409" s="4"/>
      <c r="K409" s="83"/>
    </row>
    <row r="410" spans="2:11" hidden="1">
      <c r="B410" s="4"/>
      <c r="C410" s="83"/>
      <c r="D410" s="56"/>
      <c r="E410" s="1146"/>
      <c r="F410" s="4"/>
      <c r="G410" s="83"/>
      <c r="H410" s="4"/>
      <c r="I410" s="83"/>
      <c r="J410" s="4"/>
      <c r="K410" s="83"/>
    </row>
    <row r="411" spans="2:11" hidden="1">
      <c r="B411" s="4"/>
      <c r="C411" s="83"/>
      <c r="D411" s="56"/>
      <c r="E411" s="1146"/>
      <c r="F411" s="4"/>
      <c r="G411" s="83"/>
      <c r="H411" s="4"/>
      <c r="I411" s="83"/>
      <c r="J411" s="4"/>
      <c r="K411" s="83"/>
    </row>
    <row r="412" spans="2:11" hidden="1">
      <c r="B412" s="4"/>
      <c r="C412" s="83"/>
      <c r="D412" s="56"/>
      <c r="E412" s="1146"/>
      <c r="F412" s="4"/>
      <c r="G412" s="83"/>
      <c r="H412" s="4"/>
      <c r="I412" s="83"/>
      <c r="J412" s="4"/>
      <c r="K412" s="83"/>
    </row>
    <row r="413" spans="2:11" hidden="1">
      <c r="B413" s="4"/>
      <c r="C413" s="83"/>
      <c r="D413" s="56"/>
      <c r="E413" s="1146"/>
      <c r="F413" s="4"/>
      <c r="G413" s="83"/>
      <c r="H413" s="4"/>
      <c r="I413" s="83"/>
      <c r="J413" s="4"/>
      <c r="K413" s="83"/>
    </row>
    <row r="414" spans="2:11" hidden="1">
      <c r="B414" s="4"/>
      <c r="C414" s="83"/>
      <c r="D414" s="56"/>
      <c r="E414" s="1146"/>
      <c r="F414" s="4"/>
      <c r="G414" s="83"/>
      <c r="H414" s="4"/>
      <c r="I414" s="83"/>
      <c r="J414" s="4"/>
      <c r="K414" s="83"/>
    </row>
    <row r="415" spans="2:11" hidden="1">
      <c r="B415" s="4"/>
      <c r="C415" s="83"/>
      <c r="D415" s="56"/>
      <c r="E415" s="1146"/>
      <c r="F415" s="4"/>
      <c r="G415" s="83"/>
      <c r="H415" s="4"/>
      <c r="I415" s="83"/>
      <c r="J415" s="4"/>
      <c r="K415" s="83"/>
    </row>
    <row r="416" spans="2:11" hidden="1">
      <c r="B416" s="4"/>
      <c r="C416" s="83"/>
      <c r="D416" s="56"/>
      <c r="E416" s="1146"/>
      <c r="F416" s="4"/>
      <c r="G416" s="83"/>
      <c r="H416" s="4"/>
      <c r="I416" s="83"/>
      <c r="J416" s="4"/>
      <c r="K416" s="83"/>
    </row>
    <row r="417" spans="2:11" hidden="1">
      <c r="B417" s="4"/>
      <c r="C417" s="83"/>
      <c r="D417" s="56"/>
      <c r="E417" s="1146"/>
      <c r="F417" s="4"/>
      <c r="G417" s="83"/>
      <c r="H417" s="4"/>
      <c r="I417" s="83"/>
      <c r="J417" s="4"/>
      <c r="K417" s="83"/>
    </row>
    <row r="418" spans="2:11" hidden="1">
      <c r="B418" s="4"/>
      <c r="C418" s="83"/>
      <c r="D418" s="56"/>
      <c r="E418" s="1146"/>
      <c r="F418" s="4"/>
      <c r="G418" s="83"/>
      <c r="H418" s="4"/>
      <c r="I418" s="83"/>
      <c r="J418" s="4"/>
      <c r="K418" s="83"/>
    </row>
    <row r="419" spans="2:11" hidden="1">
      <c r="B419" s="4"/>
      <c r="C419" s="83"/>
      <c r="D419" s="56"/>
      <c r="E419" s="1146"/>
      <c r="F419" s="4"/>
      <c r="G419" s="83"/>
      <c r="H419" s="4"/>
      <c r="I419" s="83"/>
      <c r="J419" s="4"/>
      <c r="K419" s="83"/>
    </row>
    <row r="420" spans="2:11" hidden="1">
      <c r="B420" s="4"/>
      <c r="C420" s="83"/>
      <c r="D420" s="56"/>
      <c r="E420" s="1146"/>
      <c r="F420" s="4"/>
      <c r="G420" s="83"/>
      <c r="H420" s="4"/>
      <c r="I420" s="83"/>
      <c r="J420" s="4"/>
      <c r="K420" s="83"/>
    </row>
    <row r="421" spans="2:11" hidden="1">
      <c r="B421" s="4"/>
      <c r="C421" s="83"/>
      <c r="D421" s="56"/>
      <c r="E421" s="1146"/>
      <c r="F421" s="4"/>
      <c r="G421" s="83"/>
      <c r="H421" s="4"/>
      <c r="I421" s="83"/>
      <c r="J421" s="4"/>
      <c r="K421" s="83"/>
    </row>
    <row r="422" spans="2:11" hidden="1">
      <c r="B422" s="4"/>
      <c r="C422" s="83"/>
      <c r="D422" s="56"/>
      <c r="E422" s="1146"/>
      <c r="F422" s="4"/>
      <c r="G422" s="83"/>
      <c r="H422" s="4"/>
      <c r="I422" s="83"/>
      <c r="J422" s="4"/>
      <c r="K422" s="83"/>
    </row>
    <row r="423" spans="2:11" hidden="1">
      <c r="B423" s="4"/>
      <c r="C423" s="83"/>
      <c r="D423" s="56"/>
      <c r="E423" s="1146"/>
      <c r="F423" s="4"/>
      <c r="G423" s="83"/>
      <c r="H423" s="4"/>
      <c r="I423" s="83"/>
      <c r="J423" s="4"/>
      <c r="K423" s="83"/>
    </row>
    <row r="424" spans="2:11" hidden="1">
      <c r="B424" s="4"/>
      <c r="C424" s="83"/>
      <c r="D424" s="56"/>
      <c r="E424" s="1146"/>
      <c r="F424" s="4"/>
      <c r="G424" s="83"/>
      <c r="H424" s="4"/>
      <c r="I424" s="83"/>
      <c r="J424" s="4"/>
      <c r="K424" s="83"/>
    </row>
    <row r="425" spans="2:11" hidden="1">
      <c r="B425" s="4"/>
      <c r="C425" s="83"/>
      <c r="D425" s="56"/>
      <c r="E425" s="1146"/>
      <c r="F425" s="4"/>
      <c r="G425" s="83"/>
      <c r="H425" s="4"/>
      <c r="I425" s="83"/>
      <c r="J425" s="4"/>
      <c r="K425" s="83"/>
    </row>
    <row r="426" spans="2:11" hidden="1">
      <c r="B426" s="4"/>
      <c r="C426" s="83"/>
      <c r="D426" s="56"/>
      <c r="E426" s="1146"/>
      <c r="F426" s="4"/>
      <c r="G426" s="83"/>
      <c r="H426" s="4"/>
      <c r="I426" s="83"/>
      <c r="J426" s="4"/>
      <c r="K426" s="83"/>
    </row>
    <row r="427" spans="2:11" hidden="1">
      <c r="B427" s="4"/>
      <c r="C427" s="83"/>
      <c r="D427" s="56"/>
      <c r="E427" s="1146"/>
      <c r="F427" s="4"/>
      <c r="G427" s="83"/>
      <c r="H427" s="4"/>
      <c r="I427" s="83"/>
      <c r="J427" s="4"/>
      <c r="K427" s="83"/>
    </row>
    <row r="428" spans="2:11" hidden="1">
      <c r="B428" s="4"/>
      <c r="C428" s="83"/>
      <c r="D428" s="56"/>
      <c r="E428" s="1146"/>
      <c r="F428" s="4"/>
      <c r="G428" s="83"/>
      <c r="H428" s="4"/>
      <c r="I428" s="83"/>
      <c r="J428" s="4"/>
      <c r="K428" s="83"/>
    </row>
    <row r="429" spans="2:11" hidden="1">
      <c r="B429" s="4"/>
      <c r="C429" s="83"/>
      <c r="D429" s="56"/>
      <c r="E429" s="1146"/>
      <c r="F429" s="4"/>
      <c r="G429" s="83"/>
      <c r="H429" s="4"/>
      <c r="I429" s="83"/>
      <c r="J429" s="4"/>
      <c r="K429" s="83"/>
    </row>
    <row r="430" spans="2:11" hidden="1">
      <c r="B430" s="4"/>
      <c r="C430" s="83"/>
      <c r="D430" s="56"/>
      <c r="E430" s="1146"/>
      <c r="F430" s="4"/>
      <c r="G430" s="83"/>
      <c r="H430" s="4"/>
      <c r="I430" s="83"/>
      <c r="J430" s="4"/>
      <c r="K430" s="83"/>
    </row>
    <row r="431" spans="2:11" hidden="1">
      <c r="B431" s="4"/>
      <c r="C431" s="83"/>
      <c r="D431" s="56"/>
      <c r="E431" s="1146"/>
      <c r="F431" s="4"/>
      <c r="G431" s="83"/>
      <c r="H431" s="4"/>
      <c r="I431" s="83"/>
      <c r="J431" s="4"/>
      <c r="K431" s="83"/>
    </row>
    <row r="432" spans="2:11" hidden="1">
      <c r="B432" s="4"/>
      <c r="C432" s="83"/>
      <c r="D432" s="56"/>
      <c r="E432" s="1146"/>
      <c r="F432" s="4"/>
      <c r="G432" s="83"/>
      <c r="H432" s="4"/>
      <c r="I432" s="83"/>
      <c r="J432" s="4"/>
      <c r="K432" s="83"/>
    </row>
    <row r="433" spans="2:11" hidden="1">
      <c r="B433" s="4"/>
      <c r="C433" s="83"/>
      <c r="D433" s="56"/>
      <c r="E433" s="1146"/>
      <c r="F433" s="4"/>
      <c r="G433" s="83"/>
      <c r="H433" s="4"/>
      <c r="I433" s="83"/>
      <c r="J433" s="4"/>
      <c r="K433" s="83"/>
    </row>
    <row r="434" spans="2:11" hidden="1">
      <c r="B434" s="4"/>
      <c r="C434" s="83"/>
      <c r="D434" s="16"/>
      <c r="E434" s="1165"/>
      <c r="F434" s="4"/>
      <c r="G434" s="83"/>
      <c r="H434" s="4"/>
      <c r="I434" s="83"/>
      <c r="J434" s="4"/>
      <c r="K434" s="83"/>
    </row>
    <row r="435" spans="2:11" hidden="1">
      <c r="B435" s="4"/>
      <c r="C435" s="83"/>
      <c r="D435" s="16"/>
      <c r="E435" s="1165"/>
      <c r="F435" s="4"/>
      <c r="G435" s="83"/>
      <c r="H435" s="4"/>
      <c r="I435" s="83"/>
      <c r="J435" s="4"/>
      <c r="K435" s="83"/>
    </row>
    <row r="436" spans="2:11" hidden="1">
      <c r="B436" s="4"/>
      <c r="C436" s="83"/>
      <c r="D436" s="16"/>
      <c r="E436" s="1165"/>
      <c r="F436" s="4"/>
      <c r="G436" s="83"/>
      <c r="H436" s="4"/>
      <c r="I436" s="83"/>
      <c r="J436" s="4"/>
      <c r="K436" s="83"/>
    </row>
    <row r="437" spans="2:11" hidden="1">
      <c r="B437" s="4"/>
      <c r="C437" s="83"/>
      <c r="D437" s="16"/>
      <c r="E437" s="1165"/>
      <c r="F437" s="4"/>
      <c r="G437" s="83"/>
      <c r="H437" s="4"/>
      <c r="I437" s="83"/>
      <c r="J437" s="4"/>
      <c r="K437" s="83"/>
    </row>
    <row r="438" spans="2:11" hidden="1">
      <c r="B438" s="4"/>
      <c r="C438" s="83"/>
      <c r="D438" s="16"/>
      <c r="E438" s="1165"/>
      <c r="F438" s="4"/>
      <c r="G438" s="83"/>
      <c r="H438" s="4"/>
      <c r="I438" s="83"/>
      <c r="J438" s="4"/>
      <c r="K438" s="83"/>
    </row>
    <row r="439" spans="2:11" hidden="1">
      <c r="B439" s="4"/>
      <c r="C439" s="83"/>
      <c r="D439" s="16"/>
      <c r="E439" s="1165"/>
      <c r="F439" s="4"/>
      <c r="G439" s="83"/>
      <c r="H439" s="4"/>
      <c r="I439" s="83"/>
      <c r="J439" s="4"/>
      <c r="K439" s="83"/>
    </row>
    <row r="440" spans="2:11" hidden="1">
      <c r="B440" s="4"/>
      <c r="C440" s="83"/>
      <c r="D440" s="16"/>
      <c r="E440" s="1165"/>
      <c r="F440" s="4"/>
      <c r="G440" s="83"/>
      <c r="H440" s="4"/>
      <c r="I440" s="83"/>
      <c r="J440" s="4"/>
      <c r="K440" s="83"/>
    </row>
    <row r="441" spans="2:11" hidden="1">
      <c r="B441" s="4"/>
      <c r="C441" s="83"/>
      <c r="D441" s="16"/>
      <c r="E441" s="1165"/>
      <c r="F441" s="4"/>
      <c r="G441" s="83"/>
      <c r="H441" s="4"/>
      <c r="I441" s="83"/>
      <c r="J441" s="4"/>
      <c r="K441" s="83"/>
    </row>
    <row r="442" spans="2:11" hidden="1">
      <c r="B442" s="4"/>
      <c r="C442" s="83"/>
      <c r="D442" s="16"/>
      <c r="E442" s="1165"/>
      <c r="F442" s="4"/>
      <c r="G442" s="83"/>
      <c r="H442" s="4"/>
      <c r="I442" s="83"/>
      <c r="J442" s="4"/>
      <c r="K442" s="83"/>
    </row>
    <row r="443" spans="2:11" hidden="1">
      <c r="B443" s="4"/>
      <c r="C443" s="83"/>
      <c r="D443" s="16"/>
      <c r="E443" s="1165"/>
      <c r="F443" s="4"/>
      <c r="G443" s="83"/>
      <c r="H443" s="4"/>
      <c r="I443" s="83"/>
      <c r="J443" s="4"/>
      <c r="K443" s="83"/>
    </row>
    <row r="444" spans="2:11" hidden="1">
      <c r="B444" s="4"/>
      <c r="C444" s="83"/>
      <c r="D444" s="16"/>
      <c r="E444" s="1165"/>
      <c r="F444" s="4"/>
      <c r="G444" s="83"/>
      <c r="H444" s="4"/>
      <c r="I444" s="83"/>
      <c r="J444" s="4"/>
      <c r="K444" s="83"/>
    </row>
    <row r="445" spans="2:11" hidden="1">
      <c r="B445" s="4"/>
      <c r="C445" s="83"/>
      <c r="D445" s="16"/>
      <c r="E445" s="1165"/>
      <c r="F445" s="4"/>
      <c r="G445" s="83"/>
      <c r="H445" s="4"/>
      <c r="I445" s="83"/>
      <c r="J445" s="4"/>
      <c r="K445" s="83"/>
    </row>
    <row r="446" spans="2:11" hidden="1">
      <c r="B446" s="4"/>
      <c r="C446" s="83"/>
      <c r="D446" s="16"/>
      <c r="E446" s="1165"/>
      <c r="F446" s="4"/>
      <c r="G446" s="83"/>
      <c r="H446" s="4"/>
      <c r="I446" s="83"/>
      <c r="J446" s="4"/>
      <c r="K446" s="83"/>
    </row>
    <row r="447" spans="2:11" hidden="1">
      <c r="B447" s="4"/>
      <c r="C447" s="83"/>
      <c r="D447" s="16"/>
      <c r="E447" s="1165"/>
      <c r="F447" s="4"/>
      <c r="G447" s="83"/>
      <c r="H447" s="4"/>
      <c r="I447" s="83"/>
      <c r="J447" s="4"/>
      <c r="K447" s="83"/>
    </row>
    <row r="448" spans="2:11" hidden="1">
      <c r="B448" s="4"/>
      <c r="C448" s="83"/>
      <c r="D448" s="16"/>
      <c r="E448" s="1165"/>
      <c r="F448" s="4"/>
      <c r="G448" s="83"/>
      <c r="H448" s="4"/>
      <c r="I448" s="83"/>
      <c r="J448" s="4"/>
      <c r="K448" s="83"/>
    </row>
    <row r="449" spans="2:11" hidden="1">
      <c r="B449" s="4"/>
      <c r="C449" s="83"/>
      <c r="D449" s="16"/>
      <c r="E449" s="1165"/>
      <c r="F449" s="4"/>
      <c r="G449" s="83"/>
      <c r="H449" s="4"/>
      <c r="I449" s="83"/>
      <c r="J449" s="4"/>
      <c r="K449" s="83"/>
    </row>
    <row r="450" spans="2:11" hidden="1">
      <c r="B450" s="4"/>
      <c r="C450" s="83"/>
      <c r="D450" s="16"/>
      <c r="E450" s="1165"/>
      <c r="F450" s="4"/>
      <c r="G450" s="83"/>
      <c r="H450" s="4"/>
      <c r="I450" s="83"/>
      <c r="J450" s="4"/>
      <c r="K450" s="83"/>
    </row>
    <row r="451" spans="2:11" hidden="1">
      <c r="B451" s="4"/>
      <c r="C451" s="83"/>
      <c r="D451" s="16"/>
      <c r="E451" s="1165"/>
      <c r="F451" s="4"/>
      <c r="G451" s="83"/>
      <c r="H451" s="4"/>
      <c r="I451" s="83"/>
      <c r="J451" s="4"/>
      <c r="K451" s="83"/>
    </row>
    <row r="452" spans="2:11" hidden="1">
      <c r="B452" s="4"/>
      <c r="C452" s="83"/>
      <c r="D452" s="16"/>
      <c r="E452" s="1165"/>
      <c r="F452" s="4"/>
      <c r="G452" s="83"/>
      <c r="H452" s="4"/>
      <c r="I452" s="83"/>
      <c r="J452" s="4"/>
      <c r="K452" s="83"/>
    </row>
    <row r="453" spans="2:11" hidden="1">
      <c r="B453" s="4"/>
      <c r="C453" s="83"/>
      <c r="D453" s="16"/>
      <c r="E453" s="1165"/>
      <c r="F453" s="4"/>
      <c r="G453" s="83"/>
      <c r="H453" s="4"/>
      <c r="I453" s="83"/>
      <c r="J453" s="4"/>
      <c r="K453" s="83"/>
    </row>
    <row r="454" spans="2:11" hidden="1">
      <c r="B454" s="4"/>
      <c r="C454" s="83"/>
      <c r="D454" s="16"/>
      <c r="E454" s="1165"/>
      <c r="F454" s="4"/>
      <c r="G454" s="83"/>
      <c r="H454" s="4"/>
      <c r="I454" s="83"/>
      <c r="J454" s="4"/>
      <c r="K454" s="83"/>
    </row>
    <row r="455" spans="2:11" hidden="1">
      <c r="B455" s="4"/>
      <c r="C455" s="83"/>
      <c r="D455" s="16"/>
      <c r="E455" s="1165"/>
      <c r="F455" s="4"/>
      <c r="G455" s="83"/>
      <c r="H455" s="4"/>
      <c r="I455" s="83"/>
      <c r="J455" s="4"/>
      <c r="K455" s="83"/>
    </row>
    <row r="456" spans="2:11" hidden="1">
      <c r="B456" s="4"/>
      <c r="C456" s="83"/>
      <c r="D456" s="16"/>
      <c r="E456" s="1165"/>
      <c r="F456" s="4"/>
      <c r="G456" s="83"/>
      <c r="H456" s="4"/>
      <c r="I456" s="83"/>
      <c r="J456" s="4"/>
      <c r="K456" s="83"/>
    </row>
    <row r="457" spans="2:11" hidden="1">
      <c r="B457" s="4"/>
      <c r="C457" s="83"/>
      <c r="D457" s="16"/>
      <c r="E457" s="1165"/>
      <c r="F457" s="4"/>
      <c r="G457" s="83"/>
      <c r="H457" s="4"/>
      <c r="I457" s="83"/>
      <c r="J457" s="4"/>
      <c r="K457" s="83"/>
    </row>
    <row r="458" spans="2:11" hidden="1">
      <c r="B458" s="4"/>
      <c r="C458" s="83"/>
      <c r="D458" s="16"/>
      <c r="E458" s="1165"/>
      <c r="F458" s="4"/>
      <c r="G458" s="83"/>
      <c r="H458" s="4"/>
      <c r="I458" s="83"/>
      <c r="J458" s="4"/>
      <c r="K458" s="83"/>
    </row>
    <row r="459" spans="2:11" hidden="1">
      <c r="B459" s="4"/>
      <c r="C459" s="83"/>
      <c r="D459" s="16"/>
      <c r="E459" s="1165"/>
      <c r="F459" s="4"/>
      <c r="G459" s="83"/>
      <c r="H459" s="4"/>
      <c r="I459" s="83"/>
      <c r="J459" s="4"/>
      <c r="K459" s="83"/>
    </row>
    <row r="460" spans="2:11" hidden="1">
      <c r="B460" s="4"/>
      <c r="C460" s="83"/>
      <c r="D460" s="16"/>
      <c r="E460" s="1165"/>
      <c r="F460" s="4"/>
      <c r="G460" s="83"/>
      <c r="H460" s="4"/>
      <c r="I460" s="83"/>
      <c r="J460" s="4"/>
      <c r="K460" s="83"/>
    </row>
    <row r="461" spans="2:11" hidden="1">
      <c r="B461" s="4"/>
      <c r="C461" s="83"/>
      <c r="D461" s="16"/>
      <c r="E461" s="1165"/>
      <c r="F461" s="4"/>
      <c r="G461" s="83"/>
      <c r="H461" s="4"/>
      <c r="I461" s="83"/>
      <c r="J461" s="4"/>
      <c r="K461" s="83"/>
    </row>
    <row r="462" spans="2:11" hidden="1">
      <c r="B462" s="4"/>
      <c r="C462" s="83"/>
      <c r="D462" s="16"/>
      <c r="E462" s="1165"/>
      <c r="F462" s="4"/>
      <c r="G462" s="83"/>
      <c r="H462" s="4"/>
      <c r="I462" s="83"/>
      <c r="J462" s="4"/>
      <c r="K462" s="83"/>
    </row>
    <row r="463" spans="2:11" hidden="1">
      <c r="B463" s="4"/>
      <c r="C463" s="83"/>
      <c r="D463" s="16"/>
      <c r="E463" s="1165"/>
      <c r="F463" s="4"/>
      <c r="G463" s="83"/>
      <c r="H463" s="4"/>
      <c r="I463" s="83"/>
      <c r="J463" s="4"/>
      <c r="K463" s="83"/>
    </row>
    <row r="464" spans="2:11" hidden="1">
      <c r="B464" s="4"/>
      <c r="C464" s="83"/>
      <c r="D464" s="16"/>
      <c r="E464" s="1165"/>
      <c r="F464" s="4"/>
      <c r="G464" s="83"/>
      <c r="H464" s="4"/>
      <c r="I464" s="83"/>
      <c r="J464" s="4"/>
      <c r="K464" s="83"/>
    </row>
    <row r="465" spans="2:11" hidden="1">
      <c r="B465" s="4"/>
      <c r="C465" s="83"/>
      <c r="D465" s="16"/>
      <c r="E465" s="1165"/>
      <c r="F465" s="4"/>
      <c r="G465" s="83"/>
      <c r="H465" s="4"/>
      <c r="I465" s="83"/>
      <c r="J465" s="4"/>
      <c r="K465" s="83"/>
    </row>
    <row r="466" spans="2:11" hidden="1">
      <c r="B466" s="4"/>
      <c r="C466" s="83"/>
      <c r="D466" s="16"/>
      <c r="E466" s="1165"/>
      <c r="F466" s="4"/>
      <c r="G466" s="83"/>
      <c r="H466" s="4"/>
      <c r="I466" s="83"/>
      <c r="J466" s="4"/>
      <c r="K466" s="83"/>
    </row>
    <row r="467" spans="2:11" hidden="1">
      <c r="B467" s="4"/>
      <c r="C467" s="83"/>
      <c r="D467" s="16"/>
      <c r="E467" s="1165"/>
      <c r="F467" s="4"/>
      <c r="G467" s="83"/>
      <c r="H467" s="4"/>
      <c r="I467" s="83"/>
      <c r="J467" s="4"/>
      <c r="K467" s="83"/>
    </row>
    <row r="468" spans="2:11" hidden="1">
      <c r="B468" s="4"/>
      <c r="C468" s="83"/>
      <c r="D468" s="16"/>
      <c r="E468" s="1165"/>
      <c r="F468" s="4"/>
      <c r="G468" s="83"/>
      <c r="H468" s="4"/>
      <c r="I468" s="83"/>
      <c r="J468" s="4"/>
      <c r="K468" s="83"/>
    </row>
    <row r="469" spans="2:11" hidden="1">
      <c r="B469" s="4"/>
      <c r="C469" s="83"/>
      <c r="D469" s="16"/>
      <c r="E469" s="1165"/>
      <c r="F469" s="4"/>
      <c r="G469" s="83"/>
      <c r="H469" s="4"/>
      <c r="I469" s="83"/>
      <c r="J469" s="4"/>
      <c r="K469" s="83"/>
    </row>
    <row r="470" spans="2:11" hidden="1">
      <c r="B470" s="4"/>
      <c r="C470" s="83"/>
      <c r="D470" s="16"/>
      <c r="E470" s="1165"/>
      <c r="F470" s="4"/>
      <c r="G470" s="83"/>
      <c r="H470" s="4"/>
      <c r="I470" s="83"/>
      <c r="J470" s="4"/>
      <c r="K470" s="83"/>
    </row>
    <row r="471" spans="2:11" hidden="1">
      <c r="B471" s="4"/>
      <c r="C471" s="83"/>
      <c r="D471" s="16"/>
      <c r="E471" s="1165"/>
      <c r="F471" s="4"/>
      <c r="G471" s="83"/>
      <c r="H471" s="4"/>
      <c r="I471" s="83"/>
      <c r="J471" s="4"/>
      <c r="K471" s="83"/>
    </row>
    <row r="472" spans="2:11" hidden="1">
      <c r="B472" s="4"/>
      <c r="C472" s="83"/>
      <c r="D472" s="16"/>
      <c r="E472" s="1165"/>
      <c r="F472" s="4"/>
      <c r="G472" s="83"/>
      <c r="H472" s="4"/>
      <c r="I472" s="83"/>
      <c r="J472" s="4"/>
      <c r="K472" s="83"/>
    </row>
    <row r="473" spans="2:11" hidden="1">
      <c r="B473" s="4"/>
      <c r="C473" s="83"/>
      <c r="D473" s="16"/>
      <c r="E473" s="1165"/>
      <c r="F473" s="4"/>
      <c r="G473" s="83"/>
      <c r="H473" s="4"/>
      <c r="I473" s="83"/>
      <c r="J473" s="4"/>
      <c r="K473" s="83"/>
    </row>
    <row r="474" spans="2:11" hidden="1">
      <c r="B474" s="4"/>
      <c r="C474" s="83"/>
      <c r="D474" s="16"/>
      <c r="E474" s="1165"/>
      <c r="F474" s="4"/>
      <c r="G474" s="83"/>
      <c r="H474" s="4"/>
      <c r="I474" s="83"/>
      <c r="J474" s="4"/>
      <c r="K474" s="83"/>
    </row>
    <row r="475" spans="2:11" hidden="1">
      <c r="B475" s="4"/>
      <c r="C475" s="83"/>
      <c r="D475" s="16"/>
      <c r="E475" s="1165"/>
      <c r="F475" s="4"/>
      <c r="G475" s="83"/>
      <c r="H475" s="4"/>
      <c r="I475" s="83"/>
      <c r="J475" s="4"/>
      <c r="K475" s="83"/>
    </row>
    <row r="476" spans="2:11" hidden="1">
      <c r="B476" s="4"/>
      <c r="C476" s="83"/>
      <c r="D476" s="16"/>
      <c r="E476" s="1165"/>
      <c r="F476" s="4"/>
      <c r="G476" s="83"/>
      <c r="H476" s="4"/>
      <c r="I476" s="83"/>
      <c r="J476" s="4"/>
      <c r="K476" s="83"/>
    </row>
    <row r="477" spans="2:11" hidden="1">
      <c r="B477" s="4"/>
      <c r="C477" s="83"/>
      <c r="D477" s="16"/>
      <c r="E477" s="1165"/>
      <c r="F477" s="4"/>
      <c r="G477" s="83"/>
      <c r="H477" s="4"/>
      <c r="I477" s="83"/>
      <c r="J477" s="4"/>
      <c r="K477" s="83"/>
    </row>
    <row r="478" spans="2:11" hidden="1">
      <c r="B478" s="4"/>
      <c r="C478" s="83"/>
      <c r="D478" s="16"/>
      <c r="E478" s="1165"/>
      <c r="F478" s="4"/>
      <c r="G478" s="83"/>
      <c r="H478" s="4"/>
      <c r="I478" s="83"/>
      <c r="J478" s="4"/>
      <c r="K478" s="83"/>
    </row>
    <row r="479" spans="2:11" hidden="1">
      <c r="B479" s="4"/>
      <c r="C479" s="83"/>
      <c r="D479" s="16"/>
      <c r="E479" s="1165"/>
      <c r="F479" s="4"/>
      <c r="G479" s="83"/>
      <c r="H479" s="4"/>
      <c r="I479" s="83"/>
      <c r="J479" s="4"/>
      <c r="K479" s="83"/>
    </row>
    <row r="480" spans="2:11" hidden="1">
      <c r="B480" s="4"/>
      <c r="C480" s="83"/>
      <c r="D480" s="16"/>
      <c r="E480" s="1165"/>
      <c r="F480" s="4"/>
      <c r="G480" s="83"/>
      <c r="H480" s="4"/>
      <c r="I480" s="83"/>
      <c r="J480" s="4"/>
      <c r="K480" s="83"/>
    </row>
    <row r="481" spans="2:11" hidden="1">
      <c r="B481" s="4"/>
      <c r="C481" s="83"/>
      <c r="D481" s="16"/>
      <c r="E481" s="1165"/>
      <c r="F481" s="4"/>
      <c r="G481" s="83"/>
      <c r="H481" s="4"/>
      <c r="I481" s="83"/>
      <c r="J481" s="4"/>
      <c r="K481" s="83"/>
    </row>
    <row r="482" spans="2:11" hidden="1">
      <c r="B482" s="4"/>
      <c r="C482" s="83"/>
      <c r="D482" s="16"/>
      <c r="E482" s="1165"/>
      <c r="F482" s="4"/>
      <c r="G482" s="83"/>
      <c r="H482" s="4"/>
      <c r="I482" s="83"/>
      <c r="J482" s="4"/>
      <c r="K482" s="83"/>
    </row>
    <row r="483" spans="2:11" hidden="1">
      <c r="B483" s="4"/>
      <c r="C483" s="83"/>
      <c r="D483" s="16"/>
      <c r="E483" s="1165"/>
      <c r="F483" s="4"/>
      <c r="G483" s="83"/>
      <c r="H483" s="4"/>
      <c r="I483" s="83"/>
      <c r="J483" s="4"/>
      <c r="K483" s="83"/>
    </row>
    <row r="484" spans="2:11" hidden="1">
      <c r="B484" s="4"/>
      <c r="C484" s="83"/>
      <c r="D484" s="16"/>
      <c r="E484" s="1165"/>
      <c r="F484" s="4"/>
      <c r="G484" s="83"/>
      <c r="H484" s="4"/>
      <c r="I484" s="83"/>
      <c r="J484" s="4"/>
      <c r="K484" s="83"/>
    </row>
    <row r="485" spans="2:11" hidden="1">
      <c r="B485" s="4"/>
      <c r="C485" s="83"/>
      <c r="D485" s="16"/>
      <c r="E485" s="1165"/>
      <c r="F485" s="4"/>
      <c r="G485" s="83"/>
      <c r="H485" s="4"/>
      <c r="I485" s="83"/>
      <c r="J485" s="4"/>
      <c r="K485" s="83"/>
    </row>
    <row r="486" spans="2:11" hidden="1">
      <c r="B486" s="4"/>
      <c r="C486" s="83"/>
      <c r="D486" s="16"/>
      <c r="E486" s="1165"/>
      <c r="F486" s="4"/>
      <c r="G486" s="83"/>
      <c r="H486" s="4"/>
      <c r="I486" s="83"/>
      <c r="J486" s="4"/>
      <c r="K486" s="83"/>
    </row>
    <row r="487" spans="2:11" hidden="1">
      <c r="B487" s="4"/>
      <c r="C487" s="83"/>
      <c r="D487" s="16"/>
      <c r="E487" s="1165"/>
      <c r="F487" s="4"/>
      <c r="G487" s="83"/>
      <c r="H487" s="4"/>
      <c r="I487" s="83"/>
      <c r="J487" s="4"/>
      <c r="K487" s="83"/>
    </row>
    <row r="488" spans="2:11" hidden="1">
      <c r="B488" s="4"/>
      <c r="C488" s="83"/>
      <c r="D488" s="16"/>
      <c r="E488" s="1165"/>
      <c r="F488" s="4"/>
      <c r="G488" s="83"/>
      <c r="H488" s="4"/>
      <c r="I488" s="83"/>
      <c r="J488" s="4"/>
      <c r="K488" s="83"/>
    </row>
    <row r="489" spans="2:11" hidden="1">
      <c r="B489" s="4"/>
      <c r="C489" s="83"/>
      <c r="D489" s="16"/>
      <c r="E489" s="1165"/>
      <c r="F489" s="4"/>
      <c r="G489" s="83"/>
      <c r="H489" s="4"/>
      <c r="I489" s="83"/>
      <c r="J489" s="4"/>
      <c r="K489" s="83"/>
    </row>
    <row r="490" spans="2:11" hidden="1">
      <c r="B490" s="4"/>
      <c r="C490" s="83"/>
      <c r="D490" s="16"/>
      <c r="E490" s="1165"/>
      <c r="F490" s="4"/>
      <c r="G490" s="83"/>
      <c r="H490" s="4"/>
      <c r="I490" s="83"/>
      <c r="J490" s="4"/>
      <c r="K490" s="83"/>
    </row>
    <row r="491" spans="2:11" hidden="1">
      <c r="B491" s="4"/>
      <c r="C491" s="83"/>
      <c r="D491" s="16"/>
      <c r="E491" s="1165"/>
      <c r="F491" s="4"/>
      <c r="G491" s="83"/>
      <c r="H491" s="4"/>
      <c r="I491" s="83"/>
      <c r="J491" s="4"/>
      <c r="K491" s="83"/>
    </row>
    <row r="492" spans="2:11" hidden="1">
      <c r="B492" s="4"/>
      <c r="C492" s="83"/>
      <c r="D492" s="16"/>
      <c r="E492" s="1165"/>
      <c r="F492" s="4"/>
      <c r="G492" s="83"/>
      <c r="H492" s="4"/>
      <c r="I492" s="83"/>
      <c r="J492" s="4"/>
      <c r="K492" s="83"/>
    </row>
    <row r="493" spans="2:11" hidden="1">
      <c r="B493" s="4"/>
      <c r="C493" s="83"/>
      <c r="D493" s="16"/>
      <c r="E493" s="1165"/>
      <c r="F493" s="4"/>
      <c r="G493" s="83"/>
      <c r="H493" s="4"/>
      <c r="I493" s="83"/>
      <c r="J493" s="4"/>
      <c r="K493" s="83"/>
    </row>
    <row r="494" spans="2:11" hidden="1">
      <c r="B494" s="4"/>
      <c r="C494" s="83"/>
      <c r="D494" s="16"/>
      <c r="E494" s="1165"/>
      <c r="F494" s="4"/>
      <c r="G494" s="83"/>
      <c r="H494" s="4"/>
      <c r="I494" s="83"/>
      <c r="J494" s="4"/>
      <c r="K494" s="83"/>
    </row>
    <row r="495" spans="2:11" hidden="1">
      <c r="B495" s="4"/>
      <c r="C495" s="83"/>
      <c r="D495" s="16"/>
      <c r="E495" s="1165"/>
      <c r="F495" s="4"/>
      <c r="G495" s="83"/>
      <c r="H495" s="4"/>
      <c r="I495" s="83"/>
      <c r="J495" s="4"/>
      <c r="K495" s="83"/>
    </row>
    <row r="496" spans="2:11" hidden="1">
      <c r="B496" s="4"/>
      <c r="C496" s="83"/>
      <c r="D496" s="16"/>
      <c r="E496" s="1165"/>
      <c r="F496" s="4"/>
      <c r="G496" s="83"/>
      <c r="H496" s="4"/>
      <c r="I496" s="83"/>
      <c r="J496" s="4"/>
      <c r="K496" s="83"/>
    </row>
    <row r="497" spans="2:11" hidden="1">
      <c r="B497" s="4"/>
      <c r="C497" s="83"/>
      <c r="D497" s="16"/>
      <c r="E497" s="1165"/>
      <c r="F497" s="4"/>
      <c r="G497" s="83"/>
      <c r="H497" s="4"/>
      <c r="I497" s="83"/>
      <c r="J497" s="4"/>
      <c r="K497" s="83"/>
    </row>
    <row r="498" spans="2:11" hidden="1">
      <c r="D498" s="1"/>
      <c r="E498" s="775"/>
    </row>
    <row r="499" spans="2:11" hidden="1">
      <c r="D499" s="1"/>
      <c r="E499" s="775"/>
    </row>
    <row r="500" spans="2:11" hidden="1">
      <c r="D500" s="1"/>
      <c r="E500" s="775"/>
    </row>
    <row r="501" spans="2:11" hidden="1">
      <c r="D501" s="1"/>
      <c r="E501" s="775"/>
    </row>
    <row r="502" spans="2:11" hidden="1">
      <c r="D502" s="1"/>
      <c r="E502" s="775"/>
    </row>
    <row r="503" spans="2:11" hidden="1">
      <c r="D503" s="1"/>
      <c r="E503" s="775"/>
    </row>
    <row r="504" spans="2:11" hidden="1">
      <c r="D504" s="1"/>
      <c r="E504" s="775"/>
    </row>
    <row r="505" spans="2:11" hidden="1">
      <c r="D505" s="1"/>
      <c r="E505" s="775"/>
    </row>
    <row r="506" spans="2:11" hidden="1">
      <c r="D506" s="1"/>
      <c r="E506" s="775"/>
    </row>
    <row r="507" spans="2:11" hidden="1">
      <c r="D507" s="1"/>
      <c r="E507" s="775"/>
    </row>
    <row r="508" spans="2:11" hidden="1">
      <c r="D508" s="1"/>
      <c r="E508" s="775"/>
    </row>
    <row r="509" spans="2:11" hidden="1">
      <c r="D509" s="1"/>
      <c r="E509" s="775"/>
    </row>
    <row r="510" spans="2:11" hidden="1">
      <c r="D510" s="1"/>
      <c r="E510" s="775"/>
    </row>
    <row r="511" spans="2:11" hidden="1">
      <c r="D511" s="1"/>
      <c r="E511" s="775"/>
    </row>
    <row r="512" spans="2:11" hidden="1">
      <c r="D512" s="1"/>
      <c r="E512" s="775"/>
    </row>
    <row r="513" spans="4:5" hidden="1">
      <c r="D513" s="1"/>
      <c r="E513" s="775"/>
    </row>
    <row r="514" spans="4:5" hidden="1">
      <c r="D514" s="1"/>
      <c r="E514" s="775"/>
    </row>
    <row r="515" spans="4:5" hidden="1">
      <c r="D515" s="1"/>
      <c r="E515" s="775"/>
    </row>
    <row r="516" spans="4:5" hidden="1">
      <c r="D516" s="1"/>
      <c r="E516" s="775"/>
    </row>
    <row r="517" spans="4:5" hidden="1">
      <c r="D517" s="1"/>
      <c r="E517" s="775"/>
    </row>
    <row r="518" spans="4:5" hidden="1">
      <c r="D518" s="1"/>
      <c r="E518" s="775"/>
    </row>
    <row r="519" spans="4:5" hidden="1">
      <c r="D519" s="1"/>
      <c r="E519" s="775"/>
    </row>
    <row r="520" spans="4:5" hidden="1">
      <c r="D520" s="1"/>
      <c r="E520" s="775"/>
    </row>
    <row r="521" spans="4:5" hidden="1">
      <c r="D521" s="1"/>
      <c r="E521" s="775"/>
    </row>
    <row r="522" spans="4:5" hidden="1">
      <c r="D522" s="1"/>
      <c r="E522" s="775"/>
    </row>
    <row r="523" spans="4:5" hidden="1">
      <c r="D523" s="1"/>
      <c r="E523" s="775"/>
    </row>
    <row r="524" spans="4:5" hidden="1">
      <c r="D524" s="1"/>
      <c r="E524" s="775"/>
    </row>
    <row r="525" spans="4:5" hidden="1">
      <c r="D525" s="1"/>
      <c r="E525" s="775"/>
    </row>
    <row r="526" spans="4:5" hidden="1">
      <c r="D526" s="1"/>
      <c r="E526" s="775"/>
    </row>
    <row r="527" spans="4:5" hidden="1">
      <c r="D527" s="1"/>
      <c r="E527" s="775"/>
    </row>
    <row r="528" spans="4:5" hidden="1">
      <c r="D528" s="1"/>
      <c r="E528" s="775"/>
    </row>
    <row r="529" spans="4:5" hidden="1">
      <c r="D529" s="1"/>
      <c r="E529" s="775"/>
    </row>
    <row r="530" spans="4:5" hidden="1">
      <c r="D530" s="1"/>
      <c r="E530" s="775"/>
    </row>
    <row r="531" spans="4:5" hidden="1">
      <c r="D531" s="1"/>
      <c r="E531" s="775"/>
    </row>
    <row r="532" spans="4:5" hidden="1">
      <c r="D532" s="1"/>
      <c r="E532" s="775"/>
    </row>
    <row r="533" spans="4:5" hidden="1">
      <c r="D533" s="1"/>
      <c r="E533" s="775"/>
    </row>
    <row r="534" spans="4:5" hidden="1">
      <c r="D534" s="1"/>
      <c r="E534" s="775"/>
    </row>
    <row r="535" spans="4:5" hidden="1">
      <c r="D535" s="1"/>
      <c r="E535" s="775"/>
    </row>
    <row r="536" spans="4:5" hidden="1">
      <c r="D536" s="1"/>
      <c r="E536" s="775"/>
    </row>
    <row r="537" spans="4:5" hidden="1">
      <c r="D537" s="1"/>
      <c r="E537" s="775"/>
    </row>
    <row r="538" spans="4:5" hidden="1">
      <c r="D538" s="1"/>
      <c r="E538" s="775"/>
    </row>
    <row r="539" spans="4:5" hidden="1">
      <c r="D539" s="1"/>
      <c r="E539" s="775"/>
    </row>
    <row r="540" spans="4:5" hidden="1">
      <c r="D540" s="1"/>
      <c r="E540" s="775"/>
    </row>
    <row r="541" spans="4:5" hidden="1">
      <c r="D541" s="1"/>
      <c r="E541" s="775"/>
    </row>
    <row r="542" spans="4:5" hidden="1">
      <c r="D542" s="1"/>
      <c r="E542" s="775"/>
    </row>
    <row r="543" spans="4:5" hidden="1">
      <c r="D543" s="1"/>
      <c r="E543" s="775"/>
    </row>
    <row r="544" spans="4:5" hidden="1">
      <c r="D544" s="1"/>
      <c r="E544" s="775"/>
    </row>
    <row r="545" spans="4:5" hidden="1">
      <c r="D545" s="1"/>
      <c r="E545" s="775"/>
    </row>
    <row r="546" spans="4:5" hidden="1">
      <c r="D546" s="1"/>
      <c r="E546" s="775"/>
    </row>
    <row r="547" spans="4:5" hidden="1">
      <c r="D547" s="1"/>
      <c r="E547" s="775"/>
    </row>
    <row r="548" spans="4:5" hidden="1">
      <c r="D548" s="1"/>
      <c r="E548" s="775"/>
    </row>
    <row r="549" spans="4:5" hidden="1">
      <c r="D549" s="1"/>
      <c r="E549" s="775"/>
    </row>
    <row r="550" spans="4:5" hidden="1">
      <c r="D550" s="1"/>
      <c r="E550" s="775"/>
    </row>
    <row r="551" spans="4:5" hidden="1">
      <c r="D551" s="1"/>
      <c r="E551" s="775"/>
    </row>
    <row r="552" spans="4:5" hidden="1">
      <c r="D552" s="1"/>
      <c r="E552" s="775"/>
    </row>
    <row r="553" spans="4:5" hidden="1">
      <c r="D553" s="1"/>
      <c r="E553" s="775"/>
    </row>
    <row r="554" spans="4:5" hidden="1">
      <c r="D554" s="1"/>
      <c r="E554" s="775"/>
    </row>
    <row r="555" spans="4:5" hidden="1">
      <c r="D555" s="1"/>
      <c r="E555" s="775"/>
    </row>
    <row r="556" spans="4:5" hidden="1">
      <c r="D556" s="1"/>
      <c r="E556" s="775"/>
    </row>
    <row r="557" spans="4:5" hidden="1">
      <c r="D557" s="1"/>
      <c r="E557" s="775"/>
    </row>
    <row r="558" spans="4:5" hidden="1">
      <c r="D558" s="1"/>
      <c r="E558" s="775"/>
    </row>
    <row r="559" spans="4:5" hidden="1">
      <c r="D559" s="1"/>
      <c r="E559" s="775"/>
    </row>
    <row r="560" spans="4:5" hidden="1">
      <c r="D560" s="1"/>
      <c r="E560" s="775"/>
    </row>
    <row r="561" spans="4:5" hidden="1">
      <c r="D561" s="1"/>
      <c r="E561" s="775"/>
    </row>
    <row r="562" spans="4:5" hidden="1">
      <c r="D562" s="1"/>
      <c r="E562" s="775"/>
    </row>
    <row r="563" spans="4:5" hidden="1">
      <c r="D563" s="1"/>
      <c r="E563" s="775"/>
    </row>
    <row r="564" spans="4:5" hidden="1">
      <c r="D564" s="1"/>
      <c r="E564" s="775"/>
    </row>
    <row r="565" spans="4:5" hidden="1">
      <c r="D565" s="1"/>
      <c r="E565" s="775"/>
    </row>
    <row r="566" spans="4:5" hidden="1">
      <c r="D566" s="1"/>
      <c r="E566" s="775"/>
    </row>
    <row r="567" spans="4:5" hidden="1">
      <c r="D567" s="1"/>
      <c r="E567" s="775"/>
    </row>
    <row r="568" spans="4:5" hidden="1">
      <c r="D568" s="1"/>
      <c r="E568" s="775"/>
    </row>
    <row r="569" spans="4:5" hidden="1">
      <c r="D569" s="1"/>
      <c r="E569" s="775"/>
    </row>
    <row r="570" spans="4:5" hidden="1">
      <c r="D570" s="1"/>
      <c r="E570" s="775"/>
    </row>
    <row r="571" spans="4:5" hidden="1">
      <c r="D571" s="1"/>
      <c r="E571" s="775"/>
    </row>
    <row r="572" spans="4:5" hidden="1">
      <c r="D572" s="1"/>
      <c r="E572" s="775"/>
    </row>
    <row r="573" spans="4:5" hidden="1">
      <c r="D573" s="1"/>
      <c r="E573" s="775"/>
    </row>
    <row r="574" spans="4:5" hidden="1">
      <c r="D574" s="1"/>
      <c r="E574" s="775"/>
    </row>
    <row r="575" spans="4:5" hidden="1">
      <c r="D575" s="1"/>
      <c r="E575" s="775"/>
    </row>
    <row r="576" spans="4:5" hidden="1">
      <c r="D576" s="1"/>
      <c r="E576" s="775"/>
    </row>
    <row r="577" spans="4:5" hidden="1">
      <c r="D577" s="1"/>
      <c r="E577" s="775"/>
    </row>
    <row r="578" spans="4:5" hidden="1">
      <c r="D578" s="1"/>
      <c r="E578" s="775"/>
    </row>
    <row r="579" spans="4:5" hidden="1">
      <c r="D579" s="1"/>
      <c r="E579" s="775"/>
    </row>
    <row r="580" spans="4:5" hidden="1">
      <c r="D580" s="1"/>
      <c r="E580" s="775"/>
    </row>
    <row r="581" spans="4:5" hidden="1">
      <c r="D581" s="1"/>
      <c r="E581" s="775"/>
    </row>
    <row r="582" spans="4:5" hidden="1">
      <c r="D582" s="1"/>
      <c r="E582" s="775"/>
    </row>
    <row r="583" spans="4:5" hidden="1">
      <c r="D583" s="1"/>
      <c r="E583" s="775"/>
    </row>
    <row r="584" spans="4:5" hidden="1">
      <c r="D584" s="1"/>
      <c r="E584" s="775"/>
    </row>
    <row r="585" spans="4:5" hidden="1">
      <c r="D585" s="1"/>
      <c r="E585" s="775"/>
    </row>
    <row r="586" spans="4:5" hidden="1">
      <c r="D586" s="1"/>
      <c r="E586" s="775"/>
    </row>
    <row r="587" spans="4:5" hidden="1">
      <c r="D587" s="1"/>
      <c r="E587" s="775"/>
    </row>
    <row r="588" spans="4:5" hidden="1">
      <c r="D588" s="1"/>
      <c r="E588" s="775"/>
    </row>
    <row r="589" spans="4:5" hidden="1">
      <c r="D589" s="1"/>
      <c r="E589" s="775"/>
    </row>
    <row r="590" spans="4:5" hidden="1">
      <c r="D590" s="1"/>
      <c r="E590" s="775"/>
    </row>
    <row r="591" spans="4:5" hidden="1">
      <c r="D591" s="1"/>
      <c r="E591" s="775"/>
    </row>
    <row r="592" spans="4:5" hidden="1">
      <c r="D592" s="1"/>
      <c r="E592" s="775"/>
    </row>
    <row r="593" spans="4:5" hidden="1">
      <c r="D593" s="1"/>
      <c r="E593" s="775"/>
    </row>
    <row r="594" spans="4:5" hidden="1">
      <c r="D594" s="1"/>
      <c r="E594" s="775"/>
    </row>
    <row r="595" spans="4:5" hidden="1">
      <c r="D595" s="1"/>
      <c r="E595" s="775"/>
    </row>
    <row r="596" spans="4:5" hidden="1">
      <c r="D596" s="1"/>
      <c r="E596" s="775"/>
    </row>
    <row r="597" spans="4:5" hidden="1">
      <c r="D597" s="1"/>
      <c r="E597" s="775"/>
    </row>
    <row r="598" spans="4:5" hidden="1">
      <c r="D598" s="1"/>
      <c r="E598" s="775"/>
    </row>
    <row r="599" spans="4:5" hidden="1">
      <c r="D599" s="1"/>
      <c r="E599" s="775"/>
    </row>
    <row r="600" spans="4:5" hidden="1">
      <c r="D600" s="1"/>
      <c r="E600" s="775"/>
    </row>
    <row r="601" spans="4:5" hidden="1">
      <c r="D601" s="1"/>
      <c r="E601" s="775"/>
    </row>
    <row r="602" spans="4:5" hidden="1">
      <c r="D602" s="1"/>
      <c r="E602" s="775"/>
    </row>
    <row r="603" spans="4:5" hidden="1">
      <c r="D603" s="1"/>
      <c r="E603" s="775"/>
    </row>
    <row r="604" spans="4:5" hidden="1">
      <c r="D604" s="1"/>
      <c r="E604" s="775"/>
    </row>
    <row r="605" spans="4:5" hidden="1">
      <c r="D605" s="1"/>
      <c r="E605" s="775"/>
    </row>
    <row r="606" spans="4:5" hidden="1">
      <c r="D606" s="1"/>
      <c r="E606" s="775"/>
    </row>
    <row r="607" spans="4:5" hidden="1">
      <c r="D607" s="1"/>
      <c r="E607" s="775"/>
    </row>
    <row r="608" spans="4:5" hidden="1">
      <c r="D608" s="1"/>
      <c r="E608" s="775"/>
    </row>
    <row r="609" spans="4:5" hidden="1">
      <c r="D609" s="1"/>
      <c r="E609" s="775"/>
    </row>
    <row r="610" spans="4:5" hidden="1">
      <c r="D610" s="1"/>
      <c r="E610" s="775"/>
    </row>
    <row r="611" spans="4:5" hidden="1">
      <c r="D611" s="1"/>
      <c r="E611" s="775"/>
    </row>
    <row r="612" spans="4:5" hidden="1">
      <c r="D612" s="1"/>
      <c r="E612" s="775"/>
    </row>
    <row r="613" spans="4:5" hidden="1">
      <c r="D613" s="1"/>
      <c r="E613" s="775"/>
    </row>
    <row r="614" spans="4:5" hidden="1">
      <c r="D614" s="1"/>
      <c r="E614" s="775"/>
    </row>
    <row r="615" spans="4:5" hidden="1">
      <c r="D615" s="1"/>
      <c r="E615" s="775"/>
    </row>
    <row r="616" spans="4:5" hidden="1">
      <c r="D616" s="1"/>
      <c r="E616" s="775"/>
    </row>
    <row r="617" spans="4:5" hidden="1">
      <c r="D617" s="1"/>
      <c r="E617" s="775"/>
    </row>
    <row r="618" spans="4:5" hidden="1">
      <c r="D618" s="1"/>
      <c r="E618" s="775"/>
    </row>
    <row r="619" spans="4:5" hidden="1">
      <c r="D619" s="1"/>
      <c r="E619" s="775"/>
    </row>
    <row r="620" spans="4:5" hidden="1">
      <c r="D620" s="1"/>
      <c r="E620" s="775"/>
    </row>
    <row r="621" spans="4:5" hidden="1">
      <c r="D621" s="1"/>
      <c r="E621" s="775"/>
    </row>
    <row r="622" spans="4:5" hidden="1">
      <c r="D622" s="1"/>
      <c r="E622" s="775"/>
    </row>
    <row r="623" spans="4:5" hidden="1">
      <c r="D623" s="1"/>
      <c r="E623" s="775"/>
    </row>
    <row r="624" spans="4:5" hidden="1">
      <c r="D624" s="1"/>
      <c r="E624" s="775"/>
    </row>
    <row r="625" spans="4:5" hidden="1">
      <c r="D625" s="1"/>
      <c r="E625" s="775"/>
    </row>
    <row r="626" spans="4:5" hidden="1">
      <c r="D626" s="1"/>
      <c r="E626" s="775"/>
    </row>
  </sheetData>
  <sheetProtection algorithmName="SHA-512" hashValue="QjtYMurBvTYPk3EtLVd5zES3JCyf6jL532CgTANQpg2J5K4FWCmz2Lms1DXMrcx1C5eQrWksrdagWEqFf8yapA==" saltValue="65Whx7u5eS97blnPofFIlQ==" spinCount="100000" sheet="1" objects="1" scenarios="1"/>
  <customSheetViews>
    <customSheetView guid="{A4F761B4-88B3-4464-91E0-1CCCDBCD1B8B}" scale="75" showGridLines="0" hiddenColumns="1" showRuler="0" topLeftCell="A25">
      <rowBreaks count="4" manualBreakCount="4">
        <brk id="76" min="1" max="5" man="1"/>
        <brk id="131" min="1" max="5" man="1"/>
        <brk id="159" min="1" max="5" man="1"/>
        <brk id="212" min="1" max="5" man="1"/>
      </rowBreaks>
      <colBreaks count="1" manualBreakCount="1">
        <brk id="1" max="1048575" man="1"/>
      </colBreaks>
      <pageMargins left="0" right="0" top="0.65" bottom="0" header="0" footer="0"/>
      <printOptions horizontalCentered="1"/>
      <pageSetup scale="56" fitToHeight="0" orientation="portrait" horizontalDpi="4294967292" r:id="rId1"/>
      <headerFooter alignWithMargins="0"/>
    </customSheetView>
    <customSheetView guid="{BE27EBD8-ED47-4D05-A191-2893A8781B62}" printArea="1" hiddenRows="1" hiddenColumns="1" topLeftCell="B212">
      <selection activeCell="B216" sqref="B216"/>
      <rowBreaks count="3" manualBreakCount="3">
        <brk id="107" min="1" max="9" man="1"/>
        <brk id="170" min="1" max="9" man="1"/>
        <brk id="240" min="1" max="9" man="1"/>
      </rowBreaks>
      <pageMargins left="0" right="0" top="0.65" bottom="0" header="0" footer="0"/>
      <printOptions horizontalCentered="1" headings="1"/>
      <pageSetup scale="39" fitToHeight="7" orientation="portrait" horizontalDpi="2400" verticalDpi="2400" r:id="rId2"/>
      <headerFooter alignWithMargins="0"/>
    </customSheetView>
  </customSheetViews>
  <mergeCells count="71">
    <mergeCell ref="P102:R102"/>
    <mergeCell ref="D228:J228"/>
    <mergeCell ref="P29:P38"/>
    <mergeCell ref="R29:R38"/>
    <mergeCell ref="V143:W143"/>
    <mergeCell ref="B139:D139"/>
    <mergeCell ref="B222:H222"/>
    <mergeCell ref="F139:J139"/>
    <mergeCell ref="D167:J167"/>
    <mergeCell ref="B142:J142"/>
    <mergeCell ref="H152:H153"/>
    <mergeCell ref="H154:H155"/>
    <mergeCell ref="D197:J197"/>
    <mergeCell ref="B207:J207"/>
    <mergeCell ref="B143:F143"/>
    <mergeCell ref="B200:D200"/>
    <mergeCell ref="F238:J238"/>
    <mergeCell ref="D172:H172"/>
    <mergeCell ref="B141:J141"/>
    <mergeCell ref="F187:J187"/>
    <mergeCell ref="B232:J233"/>
    <mergeCell ref="B220:J220"/>
    <mergeCell ref="B219:J219"/>
    <mergeCell ref="B229:J229"/>
    <mergeCell ref="B226:J226"/>
    <mergeCell ref="B225:F225"/>
    <mergeCell ref="B223:H223"/>
    <mergeCell ref="B221:H221"/>
    <mergeCell ref="B224:H224"/>
    <mergeCell ref="D171:H171"/>
    <mergeCell ref="B168:J168"/>
    <mergeCell ref="B208:J208"/>
    <mergeCell ref="B245:J245"/>
    <mergeCell ref="F241:J241"/>
    <mergeCell ref="F242:J242"/>
    <mergeCell ref="F239:J239"/>
    <mergeCell ref="F240:J240"/>
    <mergeCell ref="F244:J244"/>
    <mergeCell ref="F243:J243"/>
    <mergeCell ref="W197:Y197"/>
    <mergeCell ref="L15:N15"/>
    <mergeCell ref="L167:N167"/>
    <mergeCell ref="L138:N138"/>
    <mergeCell ref="P40:R40"/>
    <mergeCell ref="P64:R64"/>
    <mergeCell ref="P90:R90"/>
    <mergeCell ref="P98:R99"/>
    <mergeCell ref="P77:R78"/>
    <mergeCell ref="P83:R84"/>
    <mergeCell ref="L121:N121"/>
    <mergeCell ref="P112:R112"/>
    <mergeCell ref="P137:R137"/>
    <mergeCell ref="P149:R149"/>
    <mergeCell ref="L19:N19"/>
    <mergeCell ref="P144:R144"/>
    <mergeCell ref="P120:R121"/>
    <mergeCell ref="P94:R94"/>
    <mergeCell ref="P159:R159"/>
    <mergeCell ref="B1:J1"/>
    <mergeCell ref="L16:N16"/>
    <mergeCell ref="P18:R19"/>
    <mergeCell ref="P135:R136"/>
    <mergeCell ref="P51:R51"/>
    <mergeCell ref="P16:R16"/>
    <mergeCell ref="P24:R24"/>
    <mergeCell ref="P22:R23"/>
    <mergeCell ref="B15:J15"/>
    <mergeCell ref="B16:J16"/>
    <mergeCell ref="L49:N49"/>
    <mergeCell ref="L141:N141"/>
    <mergeCell ref="B90:J90"/>
  </mergeCells>
  <phoneticPr fontId="0" type="noConversion"/>
  <dataValidations xWindow="639" yWindow="716" count="11">
    <dataValidation type="decimal" operator="lessThanOrEqual" allowBlank="1" showInputMessage="1" showErrorMessage="1" error="numbers only in this field!" sqref="H100:I100 N171:O171 L172:M172 J158 F91:F98 D184:D185 G38 F24:G24 H36:I37 H91:I98 H84:I87 H79:I81 H73:I76 H63:I70 H56:I60 J144:J145 F102:G103 H40:I43 H52:I53 J160:J165 D179:E180 K131 F107:F108 J153 H26:I26 F36:F38 F40:F43 G131 D239:D244 F100 F52:F53 F56:F60 F63:F70 F73:F76 F79:F81 F84:F87 H107:H108 H123:I134 F123:F134 I107:I113 M131 J155:J156 J147 J149 J151 E182:E185 D182 E190:E195 D190:D193 D195 K38 M38 K171 J171:J172">
      <formula1>1000000000</formula1>
    </dataValidation>
    <dataValidation type="decimal" operator="lessThanOrEqual" allowBlank="1" showInputMessage="1" showErrorMessage="1" error="negative numbers only in this field!" sqref="F29:G29 H30:I30">
      <formula1>0</formula1>
    </dataValidation>
    <dataValidation type="decimal" operator="lessThanOrEqual" allowBlank="1" showInputMessage="1" showErrorMessage="1" error="numbers only in this field!" promptTitle="Expense May Not Be Allowable" prompt="Partnership Management Fees for the current reporting period may only be taken if the project is within the initial tax credit compliance period, see Asset Management &amp; Partnership Management Fee Policy." sqref="J154 J148 J150 J152 J146">
      <formula1>1000000000</formula1>
    </dataValidation>
    <dataValidation type="decimal" operator="lessThanOrEqual" allowBlank="1" showInputMessage="1" showErrorMessage="1" sqref="L29">
      <formula1>0</formula1>
    </dataValidation>
    <dataValidation type="list" operator="lessThanOrEqual" allowBlank="1" showInputMessage="1" showErrorMessage="1" error="numbers only in this field!" sqref="H154 H160:H161 H146:H152 H163:H165">
      <formula1>DistribPriority</formula1>
    </dataValidation>
    <dataValidation type="list" operator="lessThanOrEqual" allowBlank="1" showInputMessage="1" showErrorMessage="1" error="Data entry does not work. Please select from drop down menu. " sqref="H144:H145">
      <formula1>DistribPriority</formula1>
    </dataValidation>
    <dataValidation type="decimal" operator="greaterThan" allowBlank="1" showInputMessage="1" showErrorMessage="1" error="Positive numbers only in this field!" sqref="H109:H113 F109:F110">
      <formula1>0</formula1>
    </dataValidation>
    <dataValidation type="decimal" operator="lessThanOrEqual" allowBlank="1" showInputMessage="1" showErrorMessage="1" error="Negative numbers only in this field!" sqref="D194">
      <formula1>0</formula1>
    </dataValidation>
    <dataValidation operator="lessThanOrEqual" allowBlank="1" showInputMessage="1" showErrorMessage="1" error="numbers only in this field!" sqref="K108 M108"/>
    <dataValidation type="decimal" operator="greaterThanOrEqual" allowBlank="1" showInputMessage="1" showErrorMessage="1" error="Positive numbers only in this field!" sqref="F111:F113">
      <formula1>0</formula1>
    </dataValidation>
    <dataValidation type="decimal" operator="lessThanOrEqual" allowBlank="1" showInputMessage="1" showErrorMessage="1" error="Negative numbers only in this field!" sqref="D183">
      <formula1>0</formula1>
    </dataValidation>
  </dataValidations>
  <hyperlinks>
    <hyperlink ref="B235" r:id="rId3"/>
    <hyperlink ref="F139:J139" location="NegCashFlowNarrative" display="Go to ws4 Narrative question #1"/>
    <hyperlink ref="H29" location="NarrativeVacRat" display="If Residency Vacancy Rate is &gt; 15%, click to explain"/>
    <hyperlink ref="B234" r:id="rId4"/>
    <hyperlink ref="B70" location="MiscAdminExp" display="Miscellaneous Administrative Expenses (must explain if &gt;$10k)"/>
    <hyperlink ref="B98" location="MiscOpExp" display="Miscellaneous Operating and Maintenance Expenses (must explain if &gt;$10k)"/>
    <hyperlink ref="D151" location="DataEntry" display="Go to ws4 Narrative question #1"/>
  </hyperlinks>
  <printOptions horizontalCentered="1" headings="1"/>
  <pageMargins left="0" right="0" top="0.65" bottom="0" header="0" footer="0"/>
  <pageSetup scale="32" fitToWidth="2" fitToHeight="0" orientation="portrait" horizontalDpi="2400" verticalDpi="2400" r:id="rId5"/>
  <headerFooter alignWithMargins="0"/>
  <rowBreaks count="3" manualBreakCount="3">
    <brk id="120" min="1" max="17" man="1"/>
    <brk id="174" min="1" max="17" man="1"/>
    <brk id="230" min="1"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T455"/>
  <sheetViews>
    <sheetView showGridLines="0" topLeftCell="C1" zoomScale="90" zoomScaleNormal="90" workbookViewId="0">
      <selection activeCell="D15" sqref="D15"/>
    </sheetView>
  </sheetViews>
  <sheetFormatPr defaultColWidth="0" defaultRowHeight="13.2" zeroHeight="1"/>
  <cols>
    <col min="1" max="2" width="9.109375" hidden="1" customWidth="1"/>
    <col min="3" max="3" width="8.6640625" style="39" customWidth="1"/>
    <col min="4" max="4" width="10.33203125" style="148" customWidth="1"/>
    <col min="5" max="5" width="9.88671875" style="39" customWidth="1"/>
    <col min="6" max="6" width="14.88671875" style="1" customWidth="1"/>
    <col min="7" max="7" width="14.6640625" style="39" bestFit="1" customWidth="1"/>
    <col min="8" max="8" width="14.6640625" style="39" customWidth="1"/>
    <col min="9" max="9" width="11.6640625" style="39" customWidth="1"/>
    <col min="10" max="10" width="12.6640625" style="39" customWidth="1"/>
    <col min="11" max="11" width="16.44140625" style="39" customWidth="1"/>
    <col min="12" max="12" width="12.33203125" customWidth="1"/>
    <col min="13" max="14" width="10.88671875" customWidth="1"/>
    <col min="15" max="15" width="14" customWidth="1"/>
    <col min="16" max="16" width="29.44140625" customWidth="1"/>
    <col min="17" max="17" width="10.21875" style="39" customWidth="1"/>
    <col min="18" max="18" width="31.33203125" customWidth="1"/>
    <col min="19" max="19" width="12" customWidth="1"/>
    <col min="20" max="20" width="12.33203125" customWidth="1"/>
    <col min="21" max="23" width="11.6640625" customWidth="1"/>
    <col min="24" max="24" width="14.109375" customWidth="1"/>
    <col min="25" max="25" width="12.88671875" customWidth="1"/>
    <col min="26" max="26" width="14.109375" style="232" customWidth="1"/>
    <col min="27" max="27" width="26" style="298" hidden="1" customWidth="1"/>
    <col min="28" max="31" width="19.88671875" style="298" hidden="1" customWidth="1"/>
    <col min="32" max="33" width="19.88671875" hidden="1" customWidth="1"/>
    <col min="34" max="35" width="9.109375" hidden="1" customWidth="1"/>
    <col min="36" max="36" width="13" hidden="1" customWidth="1"/>
    <col min="37" max="37" width="29.5546875" hidden="1" customWidth="1"/>
    <col min="38" max="38" width="17.44140625" hidden="1" customWidth="1"/>
    <col min="39" max="39" width="40.33203125" hidden="1" customWidth="1"/>
    <col min="40" max="46" width="5.6640625" hidden="1" customWidth="1"/>
    <col min="47" max="16384" width="9.109375" hidden="1"/>
  </cols>
  <sheetData>
    <row r="1" spans="1:39" ht="51.75" customHeight="1">
      <c r="A1" s="394"/>
      <c r="B1" s="394"/>
      <c r="C1" s="614"/>
      <c r="D1" s="615"/>
      <c r="E1" s="2035" t="s">
        <v>1101</v>
      </c>
      <c r="F1" s="2036"/>
      <c r="G1" s="1794"/>
      <c r="H1" s="1794"/>
      <c r="I1" s="1794"/>
      <c r="J1" s="1794"/>
      <c r="K1" s="1794"/>
      <c r="L1" s="1794"/>
      <c r="M1" s="1794"/>
      <c r="N1" s="1794"/>
      <c r="O1" s="1794"/>
      <c r="P1" s="1794"/>
      <c r="Q1" s="1794"/>
      <c r="R1" s="1768"/>
      <c r="S1" s="615"/>
      <c r="T1" s="615"/>
      <c r="U1" s="615"/>
      <c r="V1" s="615"/>
      <c r="W1" s="615"/>
      <c r="X1" s="615"/>
      <c r="Y1" s="615"/>
      <c r="Z1" s="616"/>
      <c r="AJ1" s="232"/>
    </row>
    <row r="2" spans="1:39" ht="13.8">
      <c r="A2" s="394"/>
      <c r="B2" s="394"/>
      <c r="C2" s="2042"/>
      <c r="D2" s="2043"/>
      <c r="E2" s="2043"/>
      <c r="F2" s="2044"/>
      <c r="G2" s="2043"/>
      <c r="H2" s="2043"/>
      <c r="I2" s="2043"/>
      <c r="J2" s="2043"/>
      <c r="K2" s="2043"/>
      <c r="L2" s="2043"/>
      <c r="M2" s="2043"/>
      <c r="N2" s="2043"/>
      <c r="O2" s="2043"/>
      <c r="P2" s="2043"/>
      <c r="Q2" s="2043"/>
      <c r="R2" s="2044"/>
      <c r="S2" s="2043"/>
      <c r="T2" s="2043"/>
      <c r="U2" s="2043"/>
      <c r="V2" s="2043"/>
      <c r="W2" s="2043"/>
      <c r="X2" s="2043"/>
      <c r="Y2" s="2043"/>
      <c r="Z2" s="2045"/>
    </row>
    <row r="3" spans="1:39" ht="27" customHeight="1" thickBot="1">
      <c r="A3" s="394"/>
      <c r="B3" s="394"/>
      <c r="C3" s="2050" t="str">
        <f>'Completeness Tracker'!$O$23&amp;" "&amp;'Completeness Tracker'!$O$32&amp;" - "&amp;'Completeness Tracker'!$O$24&amp;'Completeness Tracker'!$O$39</f>
        <v>Annual Monitoring Report - Occupancy &amp; Rent Info - Reporting Year 2018 - Mayor's Office of Housing &amp; Community Development</v>
      </c>
      <c r="D3" s="2051"/>
      <c r="E3" s="2051"/>
      <c r="F3" s="2052"/>
      <c r="G3" s="2051"/>
      <c r="H3" s="2051"/>
      <c r="I3" s="2051"/>
      <c r="J3" s="2051"/>
      <c r="K3" s="2051"/>
      <c r="L3" s="2053"/>
      <c r="M3" s="2053"/>
      <c r="N3" s="2053"/>
      <c r="O3" s="2053"/>
      <c r="P3" s="2053"/>
      <c r="Q3" s="2053"/>
      <c r="R3" s="2054"/>
      <c r="S3" s="2053"/>
      <c r="T3" s="2053"/>
      <c r="U3" s="2053"/>
      <c r="V3" s="2053"/>
      <c r="W3" s="2053"/>
      <c r="X3" s="2053"/>
      <c r="Y3" s="2053"/>
      <c r="Z3" s="2055"/>
    </row>
    <row r="4" spans="1:39" s="2" customFormat="1" ht="19.5" customHeight="1" thickBot="1">
      <c r="A4" s="394"/>
      <c r="B4" s="394"/>
      <c r="C4" s="2048" t="s">
        <v>355</v>
      </c>
      <c r="D4" s="2049"/>
      <c r="E4" s="2046" t="str">
        <f>' 1A.Prop&amp;Residents'!$S$9</f>
        <v/>
      </c>
      <c r="F4" s="2047"/>
      <c r="G4" s="2047"/>
      <c r="H4" s="2047"/>
      <c r="I4" s="2047"/>
      <c r="J4" s="2047"/>
      <c r="K4" s="2047"/>
      <c r="L4" s="2059" t="s">
        <v>778</v>
      </c>
      <c r="M4" s="2060"/>
      <c r="N4" s="2060"/>
      <c r="O4" s="2060"/>
      <c r="P4" s="2060"/>
      <c r="Q4" s="2060"/>
      <c r="R4" s="2061"/>
      <c r="S4" s="2060"/>
      <c r="T4" s="2062"/>
      <c r="U4" s="2069">
        <f>' 1A.Prop&amp;Residents'!$G$13</f>
        <v>0</v>
      </c>
      <c r="V4" s="2070"/>
      <c r="W4" s="1578"/>
      <c r="X4" s="1410" t="str">
        <f>IF(OR(' 1A.Prop&amp;Residents'!$G$38="yes",' 1A.Prop&amp;Residents'!$G$38=""),"# Units:","# Households")</f>
        <v># Units:</v>
      </c>
      <c r="Y4" s="2076">
        <f>IF(OR(' 1A.Prop&amp;Residents'!$G$38="no",' 1A.Prop&amp;Residents'!$G$38=""),' 1A.Prop&amp;Residents'!I48,'1B.TransitionalProg'!$H$8)</f>
        <v>0</v>
      </c>
      <c r="Z4" s="2077"/>
      <c r="AA4" s="1470"/>
      <c r="AB4" s="1470"/>
      <c r="AC4" s="1470"/>
      <c r="AD4" s="1470"/>
      <c r="AE4" s="1470"/>
      <c r="AH4" s="118"/>
      <c r="AJ4"/>
      <c r="AK4"/>
      <c r="AL4"/>
    </row>
    <row r="5" spans="1:39" s="2" customFormat="1" ht="19.5" customHeight="1">
      <c r="A5" s="394"/>
      <c r="B5" s="394"/>
      <c r="C5" s="1231"/>
      <c r="D5" s="1231"/>
      <c r="E5" s="1232"/>
      <c r="F5" s="1072"/>
      <c r="G5" s="1232"/>
      <c r="H5" s="1232"/>
      <c r="I5" s="1232"/>
      <c r="J5" s="1232"/>
      <c r="K5" s="1232"/>
      <c r="L5" s="1233"/>
      <c r="M5" s="1233"/>
      <c r="N5" s="1233"/>
      <c r="O5" s="1233"/>
      <c r="P5" s="1233"/>
      <c r="Q5" s="1773"/>
      <c r="R5" s="1769"/>
      <c r="S5" s="1233"/>
      <c r="T5" s="1233"/>
      <c r="U5" s="114"/>
      <c r="V5" s="115"/>
      <c r="W5" s="115"/>
      <c r="X5" s="113"/>
      <c r="Y5" s="116"/>
      <c r="Z5" s="1234"/>
      <c r="AA5" s="1470"/>
      <c r="AB5" s="1470"/>
      <c r="AC5" s="1470"/>
      <c r="AD5" s="1470"/>
      <c r="AE5" s="1470"/>
      <c r="AH5" s="118"/>
      <c r="AJ5"/>
      <c r="AK5"/>
      <c r="AL5"/>
    </row>
    <row r="6" spans="1:39" s="2" customFormat="1" ht="19.5" customHeight="1">
      <c r="A6" s="394"/>
      <c r="B6" s="394"/>
      <c r="C6" s="331"/>
      <c r="D6" s="332"/>
      <c r="E6" s="330"/>
      <c r="F6" s="330"/>
      <c r="G6" s="231"/>
      <c r="H6" s="231"/>
      <c r="I6" s="231"/>
      <c r="J6" s="231"/>
      <c r="K6" s="231"/>
      <c r="L6" s="1235"/>
      <c r="M6" s="1235"/>
      <c r="N6" s="1235"/>
      <c r="O6" s="1235"/>
      <c r="P6" s="1235"/>
      <c r="Q6" s="1237"/>
      <c r="R6" s="1770"/>
      <c r="S6" s="1238"/>
      <c r="T6" s="1236"/>
      <c r="U6" s="1237"/>
      <c r="V6" s="1239"/>
      <c r="W6" s="1239"/>
      <c r="X6" s="1236"/>
      <c r="Y6" s="1240"/>
      <c r="Z6" s="1241"/>
      <c r="AA6" s="1470"/>
      <c r="AB6" s="1470"/>
      <c r="AC6" s="1470"/>
      <c r="AD6" s="1470"/>
      <c r="AE6" s="1470"/>
      <c r="AJ6"/>
      <c r="AK6"/>
      <c r="AL6"/>
    </row>
    <row r="7" spans="1:39" ht="168.75" customHeight="1">
      <c r="A7" s="394"/>
      <c r="B7" s="394"/>
      <c r="C7" s="612"/>
      <c r="D7" s="612"/>
      <c r="E7" s="2078" t="s">
        <v>2609</v>
      </c>
      <c r="F7" s="2079"/>
      <c r="G7" s="2079"/>
      <c r="H7" s="2079"/>
      <c r="I7" s="2079"/>
      <c r="J7" s="2079"/>
      <c r="K7" s="2079"/>
      <c r="L7" s="2079"/>
      <c r="M7" s="2079"/>
      <c r="N7" s="2079"/>
      <c r="O7" s="2079"/>
      <c r="P7" s="2079"/>
      <c r="Q7" s="2079"/>
      <c r="R7" s="612"/>
      <c r="S7" s="612"/>
      <c r="T7" s="612"/>
      <c r="U7" s="612"/>
      <c r="V7" s="612"/>
      <c r="W7" s="612"/>
      <c r="X7" s="612"/>
      <c r="Y7" s="612"/>
      <c r="Z7" s="613"/>
      <c r="AH7" s="133"/>
    </row>
    <row r="8" spans="1:39" ht="10.5" customHeight="1">
      <c r="A8" s="394"/>
      <c r="B8" s="394"/>
      <c r="C8" s="2071" t="s">
        <v>242</v>
      </c>
      <c r="D8" s="2072"/>
      <c r="E8" s="2072"/>
      <c r="F8" s="2072"/>
      <c r="G8" s="2072"/>
      <c r="H8" s="2072"/>
      <c r="I8" s="2072"/>
      <c r="J8" s="2072"/>
      <c r="K8" s="2072"/>
      <c r="L8" s="234"/>
      <c r="M8" s="234"/>
      <c r="N8" s="234"/>
      <c r="O8" s="234"/>
      <c r="P8" s="234"/>
      <c r="Q8" s="1774"/>
      <c r="R8" s="1771"/>
      <c r="S8" s="234"/>
      <c r="T8" s="234"/>
      <c r="U8" s="234"/>
      <c r="V8" s="234"/>
      <c r="W8" s="234"/>
      <c r="X8" s="234"/>
      <c r="Y8" s="234"/>
      <c r="Z8" s="235"/>
      <c r="AH8" s="109"/>
    </row>
    <row r="9" spans="1:39" s="27" customFormat="1" ht="17.25" customHeight="1">
      <c r="A9" s="394"/>
      <c r="B9" s="394"/>
      <c r="C9" s="467" t="s">
        <v>334</v>
      </c>
      <c r="D9" s="608" t="s">
        <v>335</v>
      </c>
      <c r="E9" s="608" t="s">
        <v>336</v>
      </c>
      <c r="F9" s="1752" t="s">
        <v>337</v>
      </c>
      <c r="G9" s="467" t="s">
        <v>338</v>
      </c>
      <c r="H9" s="467" t="s">
        <v>339</v>
      </c>
      <c r="I9" s="467" t="s">
        <v>340</v>
      </c>
      <c r="J9" s="467" t="s">
        <v>341</v>
      </c>
      <c r="K9" s="468" t="s">
        <v>342</v>
      </c>
      <c r="L9" s="468" t="s">
        <v>343</v>
      </c>
      <c r="M9" s="578" t="s">
        <v>344</v>
      </c>
      <c r="N9" s="578" t="s">
        <v>345</v>
      </c>
      <c r="O9" s="578" t="s">
        <v>346</v>
      </c>
      <c r="P9" s="578" t="s">
        <v>347</v>
      </c>
      <c r="Q9" s="608" t="s">
        <v>348</v>
      </c>
      <c r="R9" s="608" t="s">
        <v>349</v>
      </c>
      <c r="S9" s="469" t="s">
        <v>350</v>
      </c>
      <c r="T9" s="469" t="s">
        <v>351</v>
      </c>
      <c r="U9" s="469" t="s">
        <v>352</v>
      </c>
      <c r="V9" s="469" t="s">
        <v>353</v>
      </c>
      <c r="W9" s="469" t="s">
        <v>354</v>
      </c>
      <c r="X9" s="469" t="s">
        <v>2203</v>
      </c>
      <c r="Y9" s="469" t="s">
        <v>2545</v>
      </c>
      <c r="Z9" s="469" t="s">
        <v>2619</v>
      </c>
      <c r="AA9" s="1471"/>
      <c r="AB9" s="1471"/>
      <c r="AC9" s="1471"/>
      <c r="AD9" s="1471"/>
      <c r="AE9" s="1471"/>
      <c r="AH9" s="119"/>
    </row>
    <row r="10" spans="1:39" s="28" customFormat="1" ht="12.75" customHeight="1">
      <c r="A10" s="394"/>
      <c r="B10" s="394"/>
      <c r="C10" s="2082" t="s">
        <v>122</v>
      </c>
      <c r="D10" s="2089" t="s">
        <v>123</v>
      </c>
      <c r="E10" s="2087" t="s">
        <v>2613</v>
      </c>
      <c r="F10" s="2087" t="s">
        <v>2550</v>
      </c>
      <c r="G10" s="2037" t="s">
        <v>536</v>
      </c>
      <c r="H10" s="2063" t="s">
        <v>535</v>
      </c>
      <c r="I10" s="2063" t="s">
        <v>537</v>
      </c>
      <c r="J10" s="2063" t="s">
        <v>686</v>
      </c>
      <c r="K10" s="2063" t="s">
        <v>684</v>
      </c>
      <c r="L10" s="2084" t="s">
        <v>685</v>
      </c>
      <c r="M10" s="2037" t="s">
        <v>538</v>
      </c>
      <c r="N10" s="2037" t="s">
        <v>539</v>
      </c>
      <c r="O10" s="2040" t="s">
        <v>563</v>
      </c>
      <c r="P10" s="2039" t="s">
        <v>569</v>
      </c>
      <c r="Q10" s="2063" t="s">
        <v>2615</v>
      </c>
      <c r="R10" s="2063" t="s">
        <v>2614</v>
      </c>
      <c r="S10" s="2064" t="s">
        <v>126</v>
      </c>
      <c r="T10" s="2063" t="s">
        <v>554</v>
      </c>
      <c r="U10" s="2064" t="s">
        <v>127</v>
      </c>
      <c r="V10" s="2063" t="s">
        <v>1195</v>
      </c>
      <c r="W10" s="2063" t="s">
        <v>2204</v>
      </c>
      <c r="X10" s="2063" t="s">
        <v>427</v>
      </c>
      <c r="Y10" s="2066" t="s">
        <v>428</v>
      </c>
      <c r="Z10" s="2056" t="s">
        <v>2623</v>
      </c>
      <c r="AA10" s="1472"/>
      <c r="AB10" s="1472"/>
      <c r="AC10" s="1472"/>
      <c r="AD10" s="1472"/>
      <c r="AE10" s="1472"/>
    </row>
    <row r="11" spans="1:39" s="30" customFormat="1" ht="16.5" customHeight="1">
      <c r="A11" s="394"/>
      <c r="B11" s="394"/>
      <c r="C11" s="2082"/>
      <c r="D11" s="2089"/>
      <c r="E11" s="2087"/>
      <c r="F11" s="2091"/>
      <c r="G11" s="2037"/>
      <c r="H11" s="2063"/>
      <c r="I11" s="2063"/>
      <c r="J11" s="2063" t="s">
        <v>128</v>
      </c>
      <c r="K11" s="2064"/>
      <c r="L11" s="2085"/>
      <c r="M11" s="2037"/>
      <c r="N11" s="2037"/>
      <c r="O11" s="2040"/>
      <c r="P11" s="2040"/>
      <c r="Q11" s="2063"/>
      <c r="R11" s="2063"/>
      <c r="S11" s="2064"/>
      <c r="T11" s="2064"/>
      <c r="U11" s="2064"/>
      <c r="V11" s="2064" t="s">
        <v>128</v>
      </c>
      <c r="W11" s="2064"/>
      <c r="X11" s="2064" t="s">
        <v>128</v>
      </c>
      <c r="Y11" s="2067"/>
      <c r="Z11" s="2057"/>
      <c r="AA11" s="1473"/>
      <c r="AB11" s="1473"/>
      <c r="AC11" s="1473"/>
      <c r="AD11" s="1473"/>
      <c r="AE11" s="1473"/>
      <c r="AF11" s="29"/>
      <c r="AG11" s="29"/>
      <c r="AI11" s="31" t="s">
        <v>129</v>
      </c>
      <c r="AJ11" s="32"/>
      <c r="AK11" s="32"/>
      <c r="AL11" s="32"/>
      <c r="AM11" s="32"/>
    </row>
    <row r="12" spans="1:39" s="30" customFormat="1" ht="15" customHeight="1">
      <c r="B12" s="29"/>
      <c r="C12" s="2082"/>
      <c r="D12" s="2089"/>
      <c r="E12" s="2087"/>
      <c r="F12" s="2091"/>
      <c r="G12" s="2037"/>
      <c r="H12" s="2063"/>
      <c r="I12" s="2063"/>
      <c r="J12" s="2063"/>
      <c r="K12" s="2064"/>
      <c r="L12" s="2085"/>
      <c r="M12" s="2037"/>
      <c r="N12" s="2037"/>
      <c r="O12" s="2040"/>
      <c r="P12" s="2040"/>
      <c r="Q12" s="2063"/>
      <c r="R12" s="2063"/>
      <c r="S12" s="2064"/>
      <c r="T12" s="2064"/>
      <c r="U12" s="2064"/>
      <c r="V12" s="2064"/>
      <c r="W12" s="2064"/>
      <c r="X12" s="2064"/>
      <c r="Y12" s="2067"/>
      <c r="Z12" s="2057"/>
      <c r="AA12" s="2074" t="s">
        <v>1599</v>
      </c>
      <c r="AB12" s="2075"/>
      <c r="AC12" s="2075"/>
      <c r="AD12" s="2075"/>
      <c r="AE12" s="2075"/>
      <c r="AF12" s="2075"/>
      <c r="AG12" s="2075"/>
      <c r="AI12" s="32"/>
      <c r="AJ12" s="32"/>
      <c r="AK12" s="32"/>
      <c r="AL12" s="32"/>
      <c r="AM12" s="32"/>
    </row>
    <row r="13" spans="1:39" s="30" customFormat="1" ht="12.75" customHeight="1">
      <c r="B13" s="29"/>
      <c r="C13" s="2082"/>
      <c r="D13" s="2089"/>
      <c r="E13" s="2087"/>
      <c r="F13" s="2091"/>
      <c r="G13" s="2037"/>
      <c r="H13" s="2063"/>
      <c r="I13" s="2063"/>
      <c r="J13" s="2063"/>
      <c r="K13" s="2064"/>
      <c r="L13" s="2085"/>
      <c r="M13" s="2037"/>
      <c r="N13" s="2037"/>
      <c r="O13" s="2040"/>
      <c r="P13" s="2040"/>
      <c r="Q13" s="2063"/>
      <c r="R13" s="2063"/>
      <c r="S13" s="2064"/>
      <c r="T13" s="2064"/>
      <c r="U13" s="2064"/>
      <c r="V13" s="2064"/>
      <c r="W13" s="2064"/>
      <c r="X13" s="2064"/>
      <c r="Y13" s="2067"/>
      <c r="Z13" s="2057"/>
      <c r="AA13" s="1474" t="str">
        <f>'3B.Demographic'!H9</f>
        <v>H</v>
      </c>
      <c r="AB13" s="1474" t="str">
        <f>'3B.Demographic'!I9</f>
        <v>I</v>
      </c>
      <c r="AC13" s="1474" t="str">
        <f>'3B.Demographic'!J9</f>
        <v>J</v>
      </c>
      <c r="AD13" s="1474" t="str">
        <f>'3B.Demographic'!K9</f>
        <v>K</v>
      </c>
      <c r="AE13" s="1474" t="str">
        <f>'3B.Demographic'!L9</f>
        <v>L</v>
      </c>
      <c r="AF13" s="1474" t="str">
        <f>'3B.Demographic'!M9</f>
        <v>M</v>
      </c>
      <c r="AG13" s="1474" t="str">
        <f>'3B.Demographic'!N9</f>
        <v>N</v>
      </c>
      <c r="AI13" s="125" t="s">
        <v>130</v>
      </c>
      <c r="AJ13" s="125" t="s">
        <v>131</v>
      </c>
      <c r="AK13" s="126" t="s">
        <v>132</v>
      </c>
      <c r="AL13" s="1753" t="s">
        <v>133</v>
      </c>
      <c r="AM13" s="1756" t="s">
        <v>2546</v>
      </c>
    </row>
    <row r="14" spans="1:39" s="124" customFormat="1" ht="68.25" customHeight="1">
      <c r="A14" s="201" t="s">
        <v>267</v>
      </c>
      <c r="B14" s="477" t="s">
        <v>429</v>
      </c>
      <c r="C14" s="2083"/>
      <c r="D14" s="2090"/>
      <c r="E14" s="2088"/>
      <c r="F14" s="2092"/>
      <c r="G14" s="2038"/>
      <c r="H14" s="2080"/>
      <c r="I14" s="2080"/>
      <c r="J14" s="2080"/>
      <c r="K14" s="2065"/>
      <c r="L14" s="2086"/>
      <c r="M14" s="2038"/>
      <c r="N14" s="2038"/>
      <c r="O14" s="2041"/>
      <c r="P14" s="2041"/>
      <c r="Q14" s="2073"/>
      <c r="R14" s="2073"/>
      <c r="S14" s="2065"/>
      <c r="T14" s="2065"/>
      <c r="U14" s="2065"/>
      <c r="V14" s="2065"/>
      <c r="W14" s="2065"/>
      <c r="X14" s="2065"/>
      <c r="Y14" s="2068"/>
      <c r="Z14" s="2058"/>
      <c r="AA14" s="1595" t="str">
        <f>'3B.Demographic'!H10</f>
        <v>Ethnicity
(select from drop down menu)</v>
      </c>
      <c r="AB14" s="1595" t="str">
        <f>'3B.Demographic'!I10</f>
        <v>Race
(select from drop down menu)</v>
      </c>
      <c r="AC14" s="1595" t="str">
        <f>'3B.Demographic'!J10</f>
        <v>Gender 
(select from drop down menu)
for Occupancies AFTER 6/30/2017</v>
      </c>
      <c r="AD14" s="1595" t="str">
        <f>'3B.Demographic'!K10</f>
        <v>Sexual Orientation / Sexual Identity 
(select from drop down menu)
for Occupancies AFTER 6/30/2017</v>
      </c>
      <c r="AE14" s="1595" t="str">
        <f>'3B.Demographic'!L10</f>
        <v>Elderly House-hold (yes/no)</v>
      </c>
      <c r="AF14" s="1595" t="str">
        <f>'3B.Demographic'!M10</f>
        <v>Number of Children under Age 18 in HH</v>
      </c>
      <c r="AG14" s="1596" t="str">
        <f>'3B.Demographic'!N10</f>
        <v>Disability
(select one)</v>
      </c>
      <c r="AI14" s="127" t="s">
        <v>134</v>
      </c>
      <c r="AJ14" s="127" t="s">
        <v>135</v>
      </c>
      <c r="AK14" s="556" t="s">
        <v>140</v>
      </c>
      <c r="AL14" s="127" t="s">
        <v>136</v>
      </c>
      <c r="AM14" s="1759" t="s">
        <v>2551</v>
      </c>
    </row>
    <row r="15" spans="1:39" ht="22.2" customHeight="1">
      <c r="A15" s="217" t="str">
        <f>IF(D15&lt;&gt;"", ' 1A.Prop&amp;Residents'!$B$7, "")</f>
        <v/>
      </c>
      <c r="B15" s="201" t="e">
        <f>' 1A.Prop&amp;Residents'!A7</f>
        <v>#N/A</v>
      </c>
      <c r="C15" s="120">
        <v>1</v>
      </c>
      <c r="D15" s="153"/>
      <c r="E15" s="154"/>
      <c r="F15" s="1775"/>
      <c r="G15" s="155"/>
      <c r="H15" s="156"/>
      <c r="I15" s="154"/>
      <c r="J15" s="157"/>
      <c r="K15" s="156"/>
      <c r="L15" s="154"/>
      <c r="M15" s="609" t="str">
        <f>IF(L15="","",IF(E15="","",IF('1B.TransitionalProg'!$H$8&gt;0,"",VLOOKUP($E15,' 1A.Prop&amp;Residents'!$P$41:$R$47,2,FALSE))))</f>
        <v/>
      </c>
      <c r="N15" s="609" t="str">
        <f>IF(L15="","",IF(E15="","",IF('1B.TransitionalProg'!$H$8&gt;0,"",VLOOKUP($E15,' 1A.Prop&amp;Residents'!$P$41:$R$47,3,FALSE))))</f>
        <v/>
      </c>
      <c r="O15" s="610" t="str">
        <f>IF(L15="", "", IF(E15="", "", IF('1B.TransitionalProg'!$H$8&gt;0,"",IF(L15&lt;M15,"overHOUSED?",IF(L15&gt;N15, "OVERcrowded?","")))))</f>
        <v/>
      </c>
      <c r="P15" s="623"/>
      <c r="Q15" s="154"/>
      <c r="R15" s="154"/>
      <c r="S15" s="156"/>
      <c r="T15" s="156"/>
      <c r="U15" s="156"/>
      <c r="V15" s="156"/>
      <c r="W15" s="1580" t="str">
        <f>IF(U15&gt;0, IF(K15&gt;0, (U15+V15)*12/K15, ""),"")</f>
        <v/>
      </c>
      <c r="X15" s="155"/>
      <c r="Y15" s="156"/>
      <c r="Z15" s="233" t="str">
        <f>IF(Y15="", "", IF(U15-Y15=0,"",IF(V15&gt;0,  Y15/(U15+V15-Y15),Y15/(U15-Y15))))</f>
        <v/>
      </c>
      <c r="AA15" s="1447">
        <f>VLOOKUP($C15,'3B.Demographic'!$C$15:$N$414,6,FALSE)</f>
        <v>0</v>
      </c>
      <c r="AB15" s="1447">
        <f>VLOOKUP($C15,'3B.Demographic'!$C$15:$N$414,7,FALSE)</f>
        <v>0</v>
      </c>
      <c r="AC15" s="1447">
        <f>VLOOKUP($C15,'3B.Demographic'!$C$15:$N$414,8,FALSE)</f>
        <v>0</v>
      </c>
      <c r="AD15" s="1447">
        <f>VLOOKUP($C15,'3B.Demographic'!$C$15:$N$414,9,FALSE)</f>
        <v>0</v>
      </c>
      <c r="AE15" s="1447">
        <f>VLOOKUP($C15,'3B.Demographic'!$C$15:$N$414,10,FALSE)</f>
        <v>0</v>
      </c>
      <c r="AF15" s="1475">
        <f>VLOOKUP($C15,'3B.Demographic'!$C$15:$N$414,11,FALSE)</f>
        <v>0</v>
      </c>
      <c r="AG15" s="1229">
        <f>VLOOKUP($C15,'3B.Demographic'!$C$15:$N$414,12,FALSE)</f>
        <v>0</v>
      </c>
      <c r="AI15" s="121" t="s">
        <v>137</v>
      </c>
      <c r="AJ15" s="121" t="s">
        <v>195</v>
      </c>
      <c r="AK15" s="556" t="s">
        <v>2564</v>
      </c>
      <c r="AL15" s="1754" t="s">
        <v>139</v>
      </c>
      <c r="AM15" s="1758" t="s">
        <v>2552</v>
      </c>
    </row>
    <row r="16" spans="1:39" ht="24.75" customHeight="1">
      <c r="A16" s="217" t="str">
        <f>IF(D16&lt;&gt;"", ' 1A.Prop&amp;Residents'!$B$7, "")</f>
        <v/>
      </c>
      <c r="B16" s="217" t="str">
        <f t="shared" ref="B16:B80" si="0">IF(D16&lt;&gt;"", B$15, "")</f>
        <v/>
      </c>
      <c r="C16" s="34">
        <v>2</v>
      </c>
      <c r="D16" s="153"/>
      <c r="E16" s="154"/>
      <c r="F16" s="1775"/>
      <c r="G16" s="155"/>
      <c r="H16" s="156"/>
      <c r="I16" s="154"/>
      <c r="J16" s="157"/>
      <c r="K16" s="156"/>
      <c r="L16" s="154"/>
      <c r="M16" s="609" t="str">
        <f>IF(L16="","",IF(E16="","",IF('1B.TransitionalProg'!$H$8&gt;0,"",VLOOKUP($E16,' 1A.Prop&amp;Residents'!$P$41:$R$47,2,FALSE))))</f>
        <v/>
      </c>
      <c r="N16" s="609" t="str">
        <f>IF(L16="","",IF(E16="","",IF('1B.TransitionalProg'!$H$8&gt;0,"",VLOOKUP($E16,' 1A.Prop&amp;Residents'!$P$41:$R$47,3,FALSE))))</f>
        <v/>
      </c>
      <c r="O16" s="610" t="str">
        <f>IF(L16="", "", IF(E16="", "", IF('1B.TransitionalProg'!$H$8&gt;0,"",IF(L16&lt;M16,"overHOUSED?",IF(L16&gt;N16, "OVERcrowded?","")))))</f>
        <v/>
      </c>
      <c r="P16" s="623"/>
      <c r="Q16" s="154"/>
      <c r="R16" s="154"/>
      <c r="S16" s="156"/>
      <c r="T16" s="156"/>
      <c r="U16" s="156"/>
      <c r="V16" s="156"/>
      <c r="W16" s="1580" t="str">
        <f t="shared" ref="W16:W79" si="1">IF(U16&gt;0, IF(K16&gt;0, (U16+V16)*12/K16, ""),"")</f>
        <v/>
      </c>
      <c r="X16" s="155"/>
      <c r="Y16" s="156"/>
      <c r="Z16" s="233" t="str">
        <f t="shared" ref="Z16:Z79" si="2">IF(Y16="", "", IF(U16-Y16=0,"",IF(V16&gt;0,  Y16/(U16+V16-Y16),Y16/(U16-Y16))))</f>
        <v/>
      </c>
      <c r="AA16" s="1447">
        <f>VLOOKUP($C16,'3B.Demographic'!$C$15:$N$414,6,FALSE)</f>
        <v>0</v>
      </c>
      <c r="AB16" s="1447">
        <f>VLOOKUP($C16,'3B.Demographic'!$C$15:$N$414,7,FALSE)</f>
        <v>0</v>
      </c>
      <c r="AC16" s="1447">
        <f>VLOOKUP($C16,'3B.Demographic'!$C$15:$N$414,8,FALSE)</f>
        <v>0</v>
      </c>
      <c r="AD16" s="1447">
        <f>VLOOKUP($C16,'3B.Demographic'!$C$15:$N$414,9,FALSE)</f>
        <v>0</v>
      </c>
      <c r="AE16" s="1447">
        <f>VLOOKUP($C16,'3B.Demographic'!$C$15:$N$414,10,FALSE)</f>
        <v>0</v>
      </c>
      <c r="AF16" s="1475">
        <f>VLOOKUP($C16,'3B.Demographic'!$C$15:$N$414,11,FALSE)</f>
        <v>0</v>
      </c>
      <c r="AG16" s="1229">
        <f>VLOOKUP($C16,'3B.Demographic'!$C$15:$N$414,12,FALSE)</f>
        <v>0</v>
      </c>
      <c r="AI16" s="37"/>
      <c r="AJ16" s="35" t="s">
        <v>140</v>
      </c>
      <c r="AK16" s="556" t="s">
        <v>2565</v>
      </c>
      <c r="AL16" s="36" t="s">
        <v>142</v>
      </c>
      <c r="AM16" s="1757" t="s">
        <v>2553</v>
      </c>
    </row>
    <row r="17" spans="1:39" ht="20.100000000000001" customHeight="1">
      <c r="A17" s="217" t="str">
        <f>IF(D17&lt;&gt;"", ' 1A.Prop&amp;Residents'!$B$7, "")</f>
        <v/>
      </c>
      <c r="B17" s="217" t="str">
        <f t="shared" si="0"/>
        <v/>
      </c>
      <c r="C17" s="34">
        <v>3</v>
      </c>
      <c r="D17" s="153"/>
      <c r="E17" s="154"/>
      <c r="F17" s="1775"/>
      <c r="G17" s="155"/>
      <c r="H17" s="156"/>
      <c r="I17" s="154"/>
      <c r="J17" s="157"/>
      <c r="K17" s="156"/>
      <c r="L17" s="154"/>
      <c r="M17" s="609" t="str">
        <f>IF(L17="","",IF(E17="","",IF('1B.TransitionalProg'!$H$8&gt;0,"",VLOOKUP($E17,' 1A.Prop&amp;Residents'!$P$41:$R$47,2,FALSE))))</f>
        <v/>
      </c>
      <c r="N17" s="609" t="str">
        <f>IF(L17="","",IF(E17="","",IF('1B.TransitionalProg'!$H$8&gt;0,"",VLOOKUP($E17,' 1A.Prop&amp;Residents'!$P$41:$R$47,3,FALSE))))</f>
        <v/>
      </c>
      <c r="O17" s="610" t="str">
        <f>IF(L17="", "", IF(E17="", "", IF('1B.TransitionalProg'!$H$8&gt;0,"",IF(L17&lt;M17,"overHOUSED?",IF(L17&gt;N17, "OVERcrowded?","")))))</f>
        <v/>
      </c>
      <c r="P17" s="623"/>
      <c r="Q17" s="154"/>
      <c r="R17" s="154"/>
      <c r="S17" s="156"/>
      <c r="T17" s="156"/>
      <c r="U17" s="156"/>
      <c r="V17" s="156"/>
      <c r="W17" s="1580" t="str">
        <f t="shared" si="1"/>
        <v/>
      </c>
      <c r="X17" s="155"/>
      <c r="Y17" s="156"/>
      <c r="Z17" s="233" t="str">
        <f t="shared" si="2"/>
        <v/>
      </c>
      <c r="AA17" s="1447">
        <f>VLOOKUP($C17,'3B.Demographic'!$C$15:$N$414,6,FALSE)</f>
        <v>0</v>
      </c>
      <c r="AB17" s="1447">
        <f>VLOOKUP($C17,'3B.Demographic'!$C$15:$N$414,7,FALSE)</f>
        <v>0</v>
      </c>
      <c r="AC17" s="1447">
        <f>VLOOKUP($C17,'3B.Demographic'!$C$15:$N$414,8,FALSE)</f>
        <v>0</v>
      </c>
      <c r="AD17" s="1447">
        <f>VLOOKUP($C17,'3B.Demographic'!$C$15:$N$414,9,FALSE)</f>
        <v>0</v>
      </c>
      <c r="AE17" s="1447">
        <f>VLOOKUP($C17,'3B.Demographic'!$C$15:$N$414,10,FALSE)</f>
        <v>0</v>
      </c>
      <c r="AF17" s="1475">
        <f>VLOOKUP($C17,'3B.Demographic'!$C$15:$N$414,11,FALSE)</f>
        <v>0</v>
      </c>
      <c r="AG17" s="1229">
        <f>VLOOKUP($C17,'3B.Demographic'!$C$15:$N$414,12,FALSE)</f>
        <v>0</v>
      </c>
      <c r="AI17" s="37"/>
      <c r="AJ17" s="37"/>
      <c r="AK17" s="556" t="s">
        <v>38</v>
      </c>
      <c r="AL17" s="36" t="s">
        <v>138</v>
      </c>
      <c r="AM17" s="1757" t="s">
        <v>2547</v>
      </c>
    </row>
    <row r="18" spans="1:39" ht="20.100000000000001" customHeight="1">
      <c r="A18" s="217" t="str">
        <f>IF(D18&lt;&gt;"", ' 1A.Prop&amp;Residents'!$B$7, "")</f>
        <v/>
      </c>
      <c r="B18" s="217" t="str">
        <f t="shared" si="0"/>
        <v/>
      </c>
      <c r="C18" s="34">
        <v>4</v>
      </c>
      <c r="D18" s="153"/>
      <c r="E18" s="154"/>
      <c r="F18" s="1775"/>
      <c r="G18" s="155"/>
      <c r="H18" s="156"/>
      <c r="I18" s="154"/>
      <c r="J18" s="157"/>
      <c r="K18" s="156"/>
      <c r="L18" s="154"/>
      <c r="M18" s="609" t="str">
        <f>IF(L18="","",IF(E18="","",IF('1B.TransitionalProg'!$H$8&gt;0,"",VLOOKUP($E18,' 1A.Prop&amp;Residents'!$P$41:$R$47,2,FALSE))))</f>
        <v/>
      </c>
      <c r="N18" s="609" t="str">
        <f>IF(L18="","",IF(E18="","",IF('1B.TransitionalProg'!$H$8&gt;0,"",VLOOKUP($E18,' 1A.Prop&amp;Residents'!$P$41:$R$47,3,FALSE))))</f>
        <v/>
      </c>
      <c r="O18" s="610" t="str">
        <f>IF(L18="", "", IF(E18="", "", IF('1B.TransitionalProg'!$H$8&gt;0,"",IF(L18&lt;M18,"overHOUSED?",IF(L18&gt;N18, "OVERcrowded?","")))))</f>
        <v/>
      </c>
      <c r="P18" s="623"/>
      <c r="Q18" s="154"/>
      <c r="R18" s="154"/>
      <c r="S18" s="156"/>
      <c r="T18" s="156"/>
      <c r="U18" s="156"/>
      <c r="V18" s="156"/>
      <c r="W18" s="1580" t="str">
        <f t="shared" si="1"/>
        <v/>
      </c>
      <c r="X18" s="155"/>
      <c r="Y18" s="156"/>
      <c r="Z18" s="233" t="str">
        <f t="shared" si="2"/>
        <v/>
      </c>
      <c r="AA18" s="1447">
        <f>VLOOKUP($C18,'3B.Demographic'!$C$15:$N$414,6,FALSE)</f>
        <v>0</v>
      </c>
      <c r="AB18" s="1447">
        <f>VLOOKUP($C18,'3B.Demographic'!$C$15:$N$414,7,FALSE)</f>
        <v>0</v>
      </c>
      <c r="AC18" s="1447">
        <f>VLOOKUP($C18,'3B.Demographic'!$C$15:$N$414,8,FALSE)</f>
        <v>0</v>
      </c>
      <c r="AD18" s="1447">
        <f>VLOOKUP($C18,'3B.Demographic'!$C$15:$N$414,9,FALSE)</f>
        <v>0</v>
      </c>
      <c r="AE18" s="1447">
        <f>VLOOKUP($C18,'3B.Demographic'!$C$15:$N$414,10,FALSE)</f>
        <v>0</v>
      </c>
      <c r="AF18" s="1475">
        <f>VLOOKUP($C18,'3B.Demographic'!$C$15:$N$414,11,FALSE)</f>
        <v>0</v>
      </c>
      <c r="AG18" s="1229">
        <f>VLOOKUP($C18,'3B.Demographic'!$C$15:$N$414,12,FALSE)</f>
        <v>0</v>
      </c>
      <c r="AI18" s="38"/>
      <c r="AJ18" s="38"/>
      <c r="AK18" s="556" t="s">
        <v>39</v>
      </c>
      <c r="AL18" s="36" t="s">
        <v>143</v>
      </c>
      <c r="AM18" s="1757" t="s">
        <v>2554</v>
      </c>
    </row>
    <row r="19" spans="1:39" ht="20.100000000000001" customHeight="1">
      <c r="A19" s="217" t="str">
        <f>IF(D19&lt;&gt;"", ' 1A.Prop&amp;Residents'!$B$7, "")</f>
        <v/>
      </c>
      <c r="B19" s="217" t="str">
        <f t="shared" si="0"/>
        <v/>
      </c>
      <c r="C19" s="34">
        <v>5</v>
      </c>
      <c r="D19" s="153"/>
      <c r="E19" s="154"/>
      <c r="F19" s="1775"/>
      <c r="G19" s="155"/>
      <c r="H19" s="156"/>
      <c r="I19" s="154"/>
      <c r="J19" s="157"/>
      <c r="K19" s="156"/>
      <c r="L19" s="154"/>
      <c r="M19" s="609" t="str">
        <f>IF(L19="","",IF(E19="","",IF('1B.TransitionalProg'!$H$8&gt;0,"",VLOOKUP($E19,' 1A.Prop&amp;Residents'!$P$41:$R$47,2,FALSE))))</f>
        <v/>
      </c>
      <c r="N19" s="609" t="str">
        <f>IF(L19="","",IF(E19="","",IF('1B.TransitionalProg'!$H$8&gt;0,"",VLOOKUP($E19,' 1A.Prop&amp;Residents'!$P$41:$R$47,3,FALSE))))</f>
        <v/>
      </c>
      <c r="O19" s="610" t="str">
        <f>IF(L19="", "", IF(E19="", "", IF('1B.TransitionalProg'!$H$8&gt;0,"",IF(L19&lt;M19,"overHOUSED?",IF(L19&gt;N19, "OVERcrowded?","")))))</f>
        <v/>
      </c>
      <c r="P19" s="623"/>
      <c r="Q19" s="154"/>
      <c r="R19" s="154"/>
      <c r="S19" s="156"/>
      <c r="T19" s="156"/>
      <c r="U19" s="156"/>
      <c r="V19" s="156"/>
      <c r="W19" s="1580" t="str">
        <f t="shared" si="1"/>
        <v/>
      </c>
      <c r="X19" s="155"/>
      <c r="Y19" s="156"/>
      <c r="Z19" s="233" t="str">
        <f t="shared" si="2"/>
        <v/>
      </c>
      <c r="AA19" s="1447">
        <f>VLOOKUP($C19,'3B.Demographic'!$C$15:$N$414,6,FALSE)</f>
        <v>0</v>
      </c>
      <c r="AB19" s="1447">
        <f>VLOOKUP($C19,'3B.Demographic'!$C$15:$N$414,7,FALSE)</f>
        <v>0</v>
      </c>
      <c r="AC19" s="1447">
        <f>VLOOKUP($C19,'3B.Demographic'!$C$15:$N$414,8,FALSE)</f>
        <v>0</v>
      </c>
      <c r="AD19" s="1447">
        <f>VLOOKUP($C19,'3B.Demographic'!$C$15:$N$414,9,FALSE)</f>
        <v>0</v>
      </c>
      <c r="AE19" s="1447">
        <f>VLOOKUP($C19,'3B.Demographic'!$C$15:$N$414,10,FALSE)</f>
        <v>0</v>
      </c>
      <c r="AF19" s="1475">
        <f>VLOOKUP($C19,'3B.Demographic'!$C$15:$N$414,11,FALSE)</f>
        <v>0</v>
      </c>
      <c r="AG19" s="1229">
        <f>VLOOKUP($C19,'3B.Demographic'!$C$15:$N$414,12,FALSE)</f>
        <v>0</v>
      </c>
      <c r="AI19" s="38"/>
      <c r="AJ19" s="38"/>
      <c r="AK19" s="122" t="s">
        <v>1191</v>
      </c>
      <c r="AL19" s="1755" t="s">
        <v>100</v>
      </c>
      <c r="AM19" s="1757"/>
    </row>
    <row r="20" spans="1:39" ht="20.100000000000001" customHeight="1">
      <c r="A20" s="217" t="str">
        <f>IF(D20&lt;&gt;"", ' 1A.Prop&amp;Residents'!$B$7, "")</f>
        <v/>
      </c>
      <c r="B20" s="217" t="str">
        <f t="shared" si="0"/>
        <v/>
      </c>
      <c r="C20" s="34">
        <v>6</v>
      </c>
      <c r="D20" s="153"/>
      <c r="E20" s="154"/>
      <c r="F20" s="1775"/>
      <c r="G20" s="155"/>
      <c r="H20" s="156"/>
      <c r="I20" s="154"/>
      <c r="J20" s="157"/>
      <c r="K20" s="156"/>
      <c r="L20" s="154"/>
      <c r="M20" s="609" t="str">
        <f>IF(L20="","",IF(E20="","",IF('1B.TransitionalProg'!$H$8&gt;0,"",VLOOKUP($E20,' 1A.Prop&amp;Residents'!$P$41:$R$47,2,FALSE))))</f>
        <v/>
      </c>
      <c r="N20" s="609" t="str">
        <f>IF(L20="","",IF(E20="","",IF('1B.TransitionalProg'!$H$8&gt;0,"",VLOOKUP($E20,' 1A.Prop&amp;Residents'!$P$41:$R$47,3,FALSE))))</f>
        <v/>
      </c>
      <c r="O20" s="610" t="str">
        <f>IF(L20="", "", IF(E20="", "", IF('1B.TransitionalProg'!$H$8&gt;0,"",IF(L20&lt;M20,"overHOUSED?",IF(L20&gt;N20, "OVERcrowded?","")))))</f>
        <v/>
      </c>
      <c r="P20" s="623"/>
      <c r="Q20" s="154"/>
      <c r="R20" s="154"/>
      <c r="S20" s="156"/>
      <c r="T20" s="156"/>
      <c r="U20" s="156"/>
      <c r="V20" s="156"/>
      <c r="W20" s="1580" t="str">
        <f t="shared" si="1"/>
        <v/>
      </c>
      <c r="X20" s="155"/>
      <c r="Y20" s="156"/>
      <c r="Z20" s="233" t="str">
        <f t="shared" si="2"/>
        <v/>
      </c>
      <c r="AA20" s="1447">
        <f>VLOOKUP($C20,'3B.Demographic'!$C$15:$N$414,6,FALSE)</f>
        <v>0</v>
      </c>
      <c r="AB20" s="1447">
        <f>VLOOKUP($C20,'3B.Demographic'!$C$15:$N$414,7,FALSE)</f>
        <v>0</v>
      </c>
      <c r="AC20" s="1447">
        <f>VLOOKUP($C20,'3B.Demographic'!$C$15:$N$414,8,FALSE)</f>
        <v>0</v>
      </c>
      <c r="AD20" s="1447">
        <f>VLOOKUP($C20,'3B.Demographic'!$C$15:$N$414,9,FALSE)</f>
        <v>0</v>
      </c>
      <c r="AE20" s="1447">
        <f>VLOOKUP($C20,'3B.Demographic'!$C$15:$N$414,10,FALSE)</f>
        <v>0</v>
      </c>
      <c r="AF20" s="1475">
        <f>VLOOKUP($C20,'3B.Demographic'!$C$15:$N$414,11,FALSE)</f>
        <v>0</v>
      </c>
      <c r="AG20" s="1229">
        <f>VLOOKUP($C20,'3B.Demographic'!$C$15:$N$414,12,FALSE)</f>
        <v>0</v>
      </c>
      <c r="AI20" s="38"/>
      <c r="AJ20" s="38"/>
      <c r="AK20" s="122" t="s">
        <v>1192</v>
      </c>
      <c r="AL20" s="1755" t="s">
        <v>101</v>
      </c>
      <c r="AM20" s="1757"/>
    </row>
    <row r="21" spans="1:39" ht="20.100000000000001" customHeight="1">
      <c r="A21" s="217" t="str">
        <f>IF(D21&lt;&gt;"", ' 1A.Prop&amp;Residents'!$B$7, "")</f>
        <v/>
      </c>
      <c r="B21" s="217" t="str">
        <f t="shared" si="0"/>
        <v/>
      </c>
      <c r="C21" s="34">
        <v>7</v>
      </c>
      <c r="D21" s="153"/>
      <c r="E21" s="154"/>
      <c r="F21" s="1775"/>
      <c r="G21" s="155"/>
      <c r="H21" s="156"/>
      <c r="I21" s="154"/>
      <c r="J21" s="157"/>
      <c r="K21" s="156"/>
      <c r="L21" s="154"/>
      <c r="M21" s="609" t="str">
        <f>IF(L21="","",IF(E21="","",IF('1B.TransitionalProg'!$H$8&gt;0,"",VLOOKUP($E21,' 1A.Prop&amp;Residents'!$P$41:$R$47,2,FALSE))))</f>
        <v/>
      </c>
      <c r="N21" s="609" t="str">
        <f>IF(L21="","",IF(E21="","",IF('1B.TransitionalProg'!$H$8&gt;0,"",VLOOKUP($E21,' 1A.Prop&amp;Residents'!$P$41:$R$47,3,FALSE))))</f>
        <v/>
      </c>
      <c r="O21" s="610" t="str">
        <f>IF(L21="", "", IF(E21="", "", IF('1B.TransitionalProg'!$H$8&gt;0,"",IF(L21&lt;M21,"overHOUSED?",IF(L21&gt;N21, "OVERcrowded?","")))))</f>
        <v/>
      </c>
      <c r="P21" s="623"/>
      <c r="Q21" s="154"/>
      <c r="R21" s="154"/>
      <c r="S21" s="156"/>
      <c r="T21" s="156"/>
      <c r="U21" s="156"/>
      <c r="V21" s="156"/>
      <c r="W21" s="1580" t="str">
        <f t="shared" si="1"/>
        <v/>
      </c>
      <c r="X21" s="155"/>
      <c r="Y21" s="156"/>
      <c r="Z21" s="233" t="str">
        <f t="shared" si="2"/>
        <v/>
      </c>
      <c r="AA21" s="1447">
        <f>VLOOKUP($C21,'3B.Demographic'!$C$15:$N$414,6,FALSE)</f>
        <v>0</v>
      </c>
      <c r="AB21" s="1447">
        <f>VLOOKUP($C21,'3B.Demographic'!$C$15:$N$414,7,FALSE)</f>
        <v>0</v>
      </c>
      <c r="AC21" s="1447">
        <f>VLOOKUP($C21,'3B.Demographic'!$C$15:$N$414,8,FALSE)</f>
        <v>0</v>
      </c>
      <c r="AD21" s="1447">
        <f>VLOOKUP($C21,'3B.Demographic'!$C$15:$N$414,9,FALSE)</f>
        <v>0</v>
      </c>
      <c r="AE21" s="1447">
        <f>VLOOKUP($C21,'3B.Demographic'!$C$15:$N$414,10,FALSE)</f>
        <v>0</v>
      </c>
      <c r="AF21" s="1475">
        <f>VLOOKUP($C21,'3B.Demographic'!$C$15:$N$414,11,FALSE)</f>
        <v>0</v>
      </c>
      <c r="AG21" s="1229">
        <f>VLOOKUP($C21,'3B.Demographic'!$C$15:$N$414,12,FALSE)</f>
        <v>0</v>
      </c>
      <c r="AK21" s="122" t="s">
        <v>141</v>
      </c>
      <c r="AL21" s="1755" t="s">
        <v>37</v>
      </c>
      <c r="AM21" s="1757"/>
    </row>
    <row r="22" spans="1:39" ht="20.100000000000001" customHeight="1">
      <c r="A22" s="217" t="str">
        <f>IF(D22&lt;&gt;"", ' 1A.Prop&amp;Residents'!$B$7, "")</f>
        <v/>
      </c>
      <c r="B22" s="217" t="str">
        <f t="shared" si="0"/>
        <v/>
      </c>
      <c r="C22" s="34">
        <v>8</v>
      </c>
      <c r="D22" s="153"/>
      <c r="E22" s="154"/>
      <c r="F22" s="1775"/>
      <c r="G22" s="155"/>
      <c r="H22" s="156"/>
      <c r="I22" s="154"/>
      <c r="J22" s="157"/>
      <c r="K22" s="156"/>
      <c r="L22" s="154"/>
      <c r="M22" s="609" t="str">
        <f>IF(L22="","",IF(E22="","",IF('1B.TransitionalProg'!$H$8&gt;0,"",VLOOKUP($E22,' 1A.Prop&amp;Residents'!$P$41:$R$47,2,FALSE))))</f>
        <v/>
      </c>
      <c r="N22" s="609" t="str">
        <f>IF(L22="","",IF(E22="","",IF('1B.TransitionalProg'!$H$8&gt;0,"",VLOOKUP($E22,' 1A.Prop&amp;Residents'!$P$41:$R$47,3,FALSE))))</f>
        <v/>
      </c>
      <c r="O22" s="610" t="str">
        <f>IF(L22="", "", IF(E22="", "", IF('1B.TransitionalProg'!$H$8&gt;0,"",IF(L22&lt;M22,"overHOUSED?",IF(L22&gt;N22, "OVERcrowded?","")))))</f>
        <v/>
      </c>
      <c r="P22" s="623"/>
      <c r="Q22" s="154"/>
      <c r="R22" s="154"/>
      <c r="S22" s="156"/>
      <c r="T22" s="156"/>
      <c r="U22" s="156"/>
      <c r="V22" s="156"/>
      <c r="W22" s="1580" t="str">
        <f t="shared" si="1"/>
        <v/>
      </c>
      <c r="X22" s="155"/>
      <c r="Y22" s="156"/>
      <c r="Z22" s="233" t="str">
        <f t="shared" si="2"/>
        <v/>
      </c>
      <c r="AA22" s="1447">
        <f>VLOOKUP($C22,'3B.Demographic'!$C$15:$N$414,6,FALSE)</f>
        <v>0</v>
      </c>
      <c r="AB22" s="1447">
        <f>VLOOKUP($C22,'3B.Demographic'!$C$15:$N$414,7,FALSE)</f>
        <v>0</v>
      </c>
      <c r="AC22" s="1447">
        <f>VLOOKUP($C22,'3B.Demographic'!$C$15:$N$414,8,FALSE)</f>
        <v>0</v>
      </c>
      <c r="AD22" s="1447">
        <f>VLOOKUP($C22,'3B.Demographic'!$C$15:$N$414,9,FALSE)</f>
        <v>0</v>
      </c>
      <c r="AE22" s="1447">
        <f>VLOOKUP($C22,'3B.Demographic'!$C$15:$N$414,10,FALSE)</f>
        <v>0</v>
      </c>
      <c r="AF22" s="1475">
        <f>VLOOKUP($C22,'3B.Demographic'!$C$15:$N$414,11,FALSE)</f>
        <v>0</v>
      </c>
      <c r="AG22" s="1229">
        <f>VLOOKUP($C22,'3B.Demographic'!$C$15:$N$414,12,FALSE)</f>
        <v>0</v>
      </c>
      <c r="AK22" s="557" t="s">
        <v>40</v>
      </c>
      <c r="AM22" s="1757"/>
    </row>
    <row r="23" spans="1:39" ht="20.100000000000001" customHeight="1">
      <c r="A23" s="217" t="str">
        <f>IF(D23&lt;&gt;"", ' 1A.Prop&amp;Residents'!$B$7, "")</f>
        <v/>
      </c>
      <c r="B23" s="217" t="str">
        <f t="shared" si="0"/>
        <v/>
      </c>
      <c r="C23" s="34">
        <v>9</v>
      </c>
      <c r="D23" s="153"/>
      <c r="E23" s="154"/>
      <c r="F23" s="1775"/>
      <c r="G23" s="155"/>
      <c r="H23" s="156"/>
      <c r="I23" s="154"/>
      <c r="J23" s="157"/>
      <c r="K23" s="156"/>
      <c r="L23" s="154"/>
      <c r="M23" s="609" t="str">
        <f>IF(L23="","",IF(E23="","",IF('1B.TransitionalProg'!$H$8&gt;0,"",VLOOKUP($E23,' 1A.Prop&amp;Residents'!$P$41:$R$47,2,FALSE))))</f>
        <v/>
      </c>
      <c r="N23" s="609" t="str">
        <f>IF(L23="","",IF(E23="","",IF('1B.TransitionalProg'!$H$8&gt;0,"",VLOOKUP($E23,' 1A.Prop&amp;Residents'!$P$41:$R$47,3,FALSE))))</f>
        <v/>
      </c>
      <c r="O23" s="610" t="str">
        <f>IF(L23="", "", IF(E23="", "", IF('1B.TransitionalProg'!$H$8&gt;0,"",IF(L23&lt;M23,"overHOUSED?",IF(L23&gt;N23, "OVERcrowded?","")))))</f>
        <v/>
      </c>
      <c r="P23" s="623"/>
      <c r="Q23" s="154"/>
      <c r="R23" s="154"/>
      <c r="S23" s="156"/>
      <c r="T23" s="156"/>
      <c r="U23" s="156"/>
      <c r="V23" s="156"/>
      <c r="W23" s="1580" t="str">
        <f t="shared" si="1"/>
        <v/>
      </c>
      <c r="X23" s="155"/>
      <c r="Y23" s="156"/>
      <c r="Z23" s="233" t="str">
        <f t="shared" si="2"/>
        <v/>
      </c>
      <c r="AA23" s="1447">
        <f>VLOOKUP($C23,'3B.Demographic'!$C$15:$N$414,6,FALSE)</f>
        <v>0</v>
      </c>
      <c r="AB23" s="1447">
        <f>VLOOKUP($C23,'3B.Demographic'!$C$15:$N$414,7,FALSE)</f>
        <v>0</v>
      </c>
      <c r="AC23" s="1447">
        <f>VLOOKUP($C23,'3B.Demographic'!$C$15:$N$414,8,FALSE)</f>
        <v>0</v>
      </c>
      <c r="AD23" s="1447">
        <f>VLOOKUP($C23,'3B.Demographic'!$C$15:$N$414,9,FALSE)</f>
        <v>0</v>
      </c>
      <c r="AE23" s="1447">
        <f>VLOOKUP($C23,'3B.Demographic'!$C$15:$N$414,10,FALSE)</f>
        <v>0</v>
      </c>
      <c r="AF23" s="1475">
        <f>VLOOKUP($C23,'3B.Demographic'!$C$15:$N$414,11,FALSE)</f>
        <v>0</v>
      </c>
      <c r="AG23" s="1229">
        <f>VLOOKUP($C23,'3B.Demographic'!$C$15:$N$414,12,FALSE)</f>
        <v>0</v>
      </c>
      <c r="AK23" s="36" t="s">
        <v>59</v>
      </c>
      <c r="AM23" s="1757"/>
    </row>
    <row r="24" spans="1:39" ht="20.100000000000001" customHeight="1">
      <c r="A24" s="217" t="str">
        <f>IF(D24&lt;&gt;"", ' 1A.Prop&amp;Residents'!$B$7, "")</f>
        <v/>
      </c>
      <c r="B24" s="217" t="str">
        <f t="shared" si="0"/>
        <v/>
      </c>
      <c r="C24" s="34">
        <v>10</v>
      </c>
      <c r="D24" s="153"/>
      <c r="E24" s="154"/>
      <c r="F24" s="1775"/>
      <c r="G24" s="155"/>
      <c r="H24" s="156"/>
      <c r="I24" s="154"/>
      <c r="J24" s="157"/>
      <c r="K24" s="156"/>
      <c r="L24" s="154"/>
      <c r="M24" s="609" t="str">
        <f>IF(L24="","",IF(E24="","",IF('1B.TransitionalProg'!$H$8&gt;0,"",VLOOKUP($E24,' 1A.Prop&amp;Residents'!$P$41:$R$47,2,FALSE))))</f>
        <v/>
      </c>
      <c r="N24" s="609" t="str">
        <f>IF(L24="","",IF(E24="","",IF('1B.TransitionalProg'!$H$8&gt;0,"",VLOOKUP($E24,' 1A.Prop&amp;Residents'!$P$41:$R$47,3,FALSE))))</f>
        <v/>
      </c>
      <c r="O24" s="610" t="str">
        <f>IF(L24="", "", IF(E24="", "", IF('1B.TransitionalProg'!$H$8&gt;0,"",IF(L24&lt;M24,"overHOUSED?",IF(L24&gt;N24, "OVERcrowded?","")))))</f>
        <v/>
      </c>
      <c r="P24" s="623"/>
      <c r="Q24" s="154"/>
      <c r="R24" s="154"/>
      <c r="S24" s="156"/>
      <c r="T24" s="156"/>
      <c r="U24" s="156"/>
      <c r="V24" s="156"/>
      <c r="W24" s="1580" t="str">
        <f t="shared" si="1"/>
        <v/>
      </c>
      <c r="X24" s="155"/>
      <c r="Y24" s="156"/>
      <c r="Z24" s="233" t="str">
        <f t="shared" si="2"/>
        <v/>
      </c>
      <c r="AA24" s="1447">
        <f>VLOOKUP($C24,'3B.Demographic'!$C$15:$N$414,6,FALSE)</f>
        <v>0</v>
      </c>
      <c r="AB24" s="1447">
        <f>VLOOKUP($C24,'3B.Demographic'!$C$15:$N$414,7,FALSE)</f>
        <v>0</v>
      </c>
      <c r="AC24" s="1447">
        <f>VLOOKUP($C24,'3B.Demographic'!$C$15:$N$414,8,FALSE)</f>
        <v>0</v>
      </c>
      <c r="AD24" s="1447">
        <f>VLOOKUP($C24,'3B.Demographic'!$C$15:$N$414,9,FALSE)</f>
        <v>0</v>
      </c>
      <c r="AE24" s="1447">
        <f>VLOOKUP($C24,'3B.Demographic'!$C$15:$N$414,10,FALSE)</f>
        <v>0</v>
      </c>
      <c r="AF24" s="1475">
        <f>VLOOKUP($C24,'3B.Demographic'!$C$15:$N$414,11,FALSE)</f>
        <v>0</v>
      </c>
      <c r="AG24" s="1229">
        <f>VLOOKUP($C24,'3B.Demographic'!$C$15:$N$414,12,FALSE)</f>
        <v>0</v>
      </c>
      <c r="AK24" s="557" t="s">
        <v>444</v>
      </c>
      <c r="AM24" s="1757"/>
    </row>
    <row r="25" spans="1:39" ht="20.100000000000001" customHeight="1">
      <c r="A25" s="217" t="str">
        <f>IF(D25&lt;&gt;"", ' 1A.Prop&amp;Residents'!$B$7, "")</f>
        <v/>
      </c>
      <c r="B25" s="217" t="str">
        <f t="shared" si="0"/>
        <v/>
      </c>
      <c r="C25" s="34">
        <v>11</v>
      </c>
      <c r="D25" s="153"/>
      <c r="E25" s="154"/>
      <c r="F25" s="1775"/>
      <c r="G25" s="155"/>
      <c r="H25" s="156"/>
      <c r="I25" s="154"/>
      <c r="J25" s="157"/>
      <c r="K25" s="156"/>
      <c r="L25" s="154"/>
      <c r="M25" s="609" t="str">
        <f>IF(L25="","",IF(E25="","",IF('1B.TransitionalProg'!$H$8&gt;0,"",VLOOKUP($E25,' 1A.Prop&amp;Residents'!$P$41:$R$47,2,FALSE))))</f>
        <v/>
      </c>
      <c r="N25" s="609" t="str">
        <f>IF(L25="","",IF(E25="","",IF('1B.TransitionalProg'!$H$8&gt;0,"",VLOOKUP($E25,' 1A.Prop&amp;Residents'!$P$41:$R$47,3,FALSE))))</f>
        <v/>
      </c>
      <c r="O25" s="610" t="str">
        <f>IF(L25="", "", IF(E25="", "", IF('1B.TransitionalProg'!$H$8&gt;0,"",IF(L25&lt;M25,"overHOUSED?",IF(L25&gt;N25, "OVERcrowded?","")))))</f>
        <v/>
      </c>
      <c r="P25" s="623"/>
      <c r="Q25" s="154"/>
      <c r="R25" s="154"/>
      <c r="S25" s="156"/>
      <c r="T25" s="156"/>
      <c r="U25" s="156"/>
      <c r="V25" s="156"/>
      <c r="W25" s="1580" t="str">
        <f t="shared" si="1"/>
        <v/>
      </c>
      <c r="X25" s="155"/>
      <c r="Y25" s="156"/>
      <c r="Z25" s="233" t="str">
        <f t="shared" si="2"/>
        <v/>
      </c>
      <c r="AA25" s="1447">
        <f>VLOOKUP($C25,'3B.Demographic'!$C$15:$N$414,6,FALSE)</f>
        <v>0</v>
      </c>
      <c r="AB25" s="1447">
        <f>VLOOKUP($C25,'3B.Demographic'!$C$15:$N$414,7,FALSE)</f>
        <v>0</v>
      </c>
      <c r="AC25" s="1447">
        <f>VLOOKUP($C25,'3B.Demographic'!$C$15:$N$414,8,FALSE)</f>
        <v>0</v>
      </c>
      <c r="AD25" s="1447">
        <f>VLOOKUP($C25,'3B.Demographic'!$C$15:$N$414,9,FALSE)</f>
        <v>0</v>
      </c>
      <c r="AE25" s="1447">
        <f>VLOOKUP($C25,'3B.Demographic'!$C$15:$N$414,10,FALSE)</f>
        <v>0</v>
      </c>
      <c r="AF25" s="1475">
        <f>VLOOKUP($C25,'3B.Demographic'!$C$15:$N$414,11,FALSE)</f>
        <v>0</v>
      </c>
      <c r="AG25" s="1229">
        <f>VLOOKUP($C25,'3B.Demographic'!$C$15:$N$414,12,FALSE)</f>
        <v>0</v>
      </c>
      <c r="AK25" s="557" t="s">
        <v>445</v>
      </c>
      <c r="AM25" s="1757"/>
    </row>
    <row r="26" spans="1:39" ht="20.100000000000001" customHeight="1">
      <c r="A26" s="217" t="str">
        <f>IF(D26&lt;&gt;"", ' 1A.Prop&amp;Residents'!$B$7, "")</f>
        <v/>
      </c>
      <c r="B26" s="217" t="str">
        <f t="shared" si="0"/>
        <v/>
      </c>
      <c r="C26" s="34">
        <v>12</v>
      </c>
      <c r="D26" s="153"/>
      <c r="E26" s="154"/>
      <c r="F26" s="1775"/>
      <c r="G26" s="155"/>
      <c r="H26" s="156"/>
      <c r="I26" s="154"/>
      <c r="J26" s="157"/>
      <c r="K26" s="156"/>
      <c r="L26" s="154"/>
      <c r="M26" s="609" t="str">
        <f>IF(L26="","",IF(E26="","",IF('1B.TransitionalProg'!$H$8&gt;0,"",VLOOKUP($E26,' 1A.Prop&amp;Residents'!$P$41:$R$47,2,FALSE))))</f>
        <v/>
      </c>
      <c r="N26" s="609" t="str">
        <f>IF(L26="","",IF(E26="","",IF('1B.TransitionalProg'!$H$8&gt;0,"",VLOOKUP($E26,' 1A.Prop&amp;Residents'!$P$41:$R$47,3,FALSE))))</f>
        <v/>
      </c>
      <c r="O26" s="610" t="str">
        <f>IF(L26="", "", IF(E26="", "", IF('1B.TransitionalProg'!$H$8&gt;0,"",IF(L26&lt;M26,"overHOUSED?",IF(L26&gt;N26, "OVERcrowded?","")))))</f>
        <v/>
      </c>
      <c r="P26" s="623"/>
      <c r="Q26" s="154"/>
      <c r="R26" s="154"/>
      <c r="S26" s="156"/>
      <c r="T26" s="156"/>
      <c r="U26" s="156"/>
      <c r="V26" s="156"/>
      <c r="W26" s="1580" t="str">
        <f t="shared" si="1"/>
        <v/>
      </c>
      <c r="X26" s="155"/>
      <c r="Y26" s="156"/>
      <c r="Z26" s="233" t="str">
        <f t="shared" si="2"/>
        <v/>
      </c>
      <c r="AA26" s="1447">
        <f>VLOOKUP($C26,'3B.Demographic'!$C$15:$N$414,6,FALSE)</f>
        <v>0</v>
      </c>
      <c r="AB26" s="1447">
        <f>VLOOKUP($C26,'3B.Demographic'!$C$15:$N$414,7,FALSE)</f>
        <v>0</v>
      </c>
      <c r="AC26" s="1447">
        <f>VLOOKUP($C26,'3B.Demographic'!$C$15:$N$414,8,FALSE)</f>
        <v>0</v>
      </c>
      <c r="AD26" s="1447">
        <f>VLOOKUP($C26,'3B.Demographic'!$C$15:$N$414,9,FALSE)</f>
        <v>0</v>
      </c>
      <c r="AE26" s="1447">
        <f>VLOOKUP($C26,'3B.Demographic'!$C$15:$N$414,10,FALSE)</f>
        <v>0</v>
      </c>
      <c r="AF26" s="1475">
        <f>VLOOKUP($C26,'3B.Demographic'!$C$15:$N$414,11,FALSE)</f>
        <v>0</v>
      </c>
      <c r="AG26" s="1229">
        <f>VLOOKUP($C26,'3B.Demographic'!$C$15:$N$414,12,FALSE)</f>
        <v>0</v>
      </c>
      <c r="AK26" s="557" t="s">
        <v>2562</v>
      </c>
    </row>
    <row r="27" spans="1:39" ht="20.100000000000001" customHeight="1">
      <c r="A27" s="217" t="str">
        <f>IF(D27&lt;&gt;"", ' 1A.Prop&amp;Residents'!$B$7, "")</f>
        <v/>
      </c>
      <c r="B27" s="217" t="str">
        <f t="shared" si="0"/>
        <v/>
      </c>
      <c r="C27" s="34">
        <v>13</v>
      </c>
      <c r="D27" s="153"/>
      <c r="E27" s="154"/>
      <c r="F27" s="1775"/>
      <c r="G27" s="155"/>
      <c r="H27" s="156"/>
      <c r="I27" s="154"/>
      <c r="J27" s="157"/>
      <c r="K27" s="156"/>
      <c r="L27" s="154"/>
      <c r="M27" s="609" t="str">
        <f>IF(L27="","",IF(E27="","",IF('1B.TransitionalProg'!$H$8&gt;0,"",VLOOKUP($E27,' 1A.Prop&amp;Residents'!$P$41:$R$47,2,FALSE))))</f>
        <v/>
      </c>
      <c r="N27" s="609" t="str">
        <f>IF(L27="","",IF(E27="","",IF('1B.TransitionalProg'!$H$8&gt;0,"",VLOOKUP($E27,' 1A.Prop&amp;Residents'!$P$41:$R$47,3,FALSE))))</f>
        <v/>
      </c>
      <c r="O27" s="610" t="str">
        <f>IF(L27="", "", IF(E27="", "", IF('1B.TransitionalProg'!$H$8&gt;0,"",IF(L27&lt;M27,"overHOUSED?",IF(L27&gt;N27, "OVERcrowded?","")))))</f>
        <v/>
      </c>
      <c r="P27" s="623"/>
      <c r="Q27" s="154"/>
      <c r="R27" s="154"/>
      <c r="S27" s="156"/>
      <c r="T27" s="156"/>
      <c r="U27" s="156"/>
      <c r="V27" s="156"/>
      <c r="W27" s="1580" t="str">
        <f t="shared" si="1"/>
        <v/>
      </c>
      <c r="X27" s="155"/>
      <c r="Y27" s="156"/>
      <c r="Z27" s="233" t="str">
        <f t="shared" si="2"/>
        <v/>
      </c>
      <c r="AA27" s="1447">
        <f>VLOOKUP($C27,'3B.Demographic'!$C$15:$N$414,6,FALSE)</f>
        <v>0</v>
      </c>
      <c r="AB27" s="1447">
        <f>VLOOKUP($C27,'3B.Demographic'!$C$15:$N$414,7,FALSE)</f>
        <v>0</v>
      </c>
      <c r="AC27" s="1447">
        <f>VLOOKUP($C27,'3B.Demographic'!$C$15:$N$414,8,FALSE)</f>
        <v>0</v>
      </c>
      <c r="AD27" s="1447">
        <f>VLOOKUP($C27,'3B.Demographic'!$C$15:$N$414,9,FALSE)</f>
        <v>0</v>
      </c>
      <c r="AE27" s="1447">
        <f>VLOOKUP($C27,'3B.Demographic'!$C$15:$N$414,10,FALSE)</f>
        <v>0</v>
      </c>
      <c r="AF27" s="1475">
        <f>VLOOKUP($C27,'3B.Demographic'!$C$15:$N$414,11,FALSE)</f>
        <v>0</v>
      </c>
      <c r="AG27" s="1229">
        <f>VLOOKUP($C27,'3B.Demographic'!$C$15:$N$414,12,FALSE)</f>
        <v>0</v>
      </c>
      <c r="AK27" s="557" t="s">
        <v>42</v>
      </c>
    </row>
    <row r="28" spans="1:39" ht="20.100000000000001" customHeight="1">
      <c r="A28" s="217" t="str">
        <f>IF(D28&lt;&gt;"", ' 1A.Prop&amp;Residents'!$B$7, "")</f>
        <v/>
      </c>
      <c r="B28" s="217" t="str">
        <f t="shared" si="0"/>
        <v/>
      </c>
      <c r="C28" s="34">
        <v>14</v>
      </c>
      <c r="D28" s="153"/>
      <c r="E28" s="154"/>
      <c r="F28" s="1775"/>
      <c r="G28" s="155"/>
      <c r="H28" s="156"/>
      <c r="I28" s="154"/>
      <c r="J28" s="157"/>
      <c r="K28" s="156"/>
      <c r="L28" s="154"/>
      <c r="M28" s="609" t="str">
        <f>IF(L28="","",IF(E28="","",IF('1B.TransitionalProg'!$H$8&gt;0,"",VLOOKUP($E28,' 1A.Prop&amp;Residents'!$P$41:$R$47,2,FALSE))))</f>
        <v/>
      </c>
      <c r="N28" s="609" t="str">
        <f>IF(L28="","",IF(E28="","",IF('1B.TransitionalProg'!$H$8&gt;0,"",VLOOKUP($E28,' 1A.Prop&amp;Residents'!$P$41:$R$47,3,FALSE))))</f>
        <v/>
      </c>
      <c r="O28" s="610" t="str">
        <f>IF(L28="", "", IF(E28="", "", IF('1B.TransitionalProg'!$H$8&gt;0,"",IF(L28&lt;M28,"overHOUSED?",IF(L28&gt;N28, "OVERcrowded?","")))))</f>
        <v/>
      </c>
      <c r="P28" s="623"/>
      <c r="Q28" s="154"/>
      <c r="R28" s="154"/>
      <c r="S28" s="156"/>
      <c r="T28" s="156"/>
      <c r="U28" s="156"/>
      <c r="V28" s="156"/>
      <c r="W28" s="1580" t="str">
        <f t="shared" si="1"/>
        <v/>
      </c>
      <c r="X28" s="155"/>
      <c r="Y28" s="156"/>
      <c r="Z28" s="233" t="str">
        <f t="shared" si="2"/>
        <v/>
      </c>
      <c r="AA28" s="1447">
        <f>VLOOKUP($C28,'3B.Demographic'!$C$15:$N$414,6,FALSE)</f>
        <v>0</v>
      </c>
      <c r="AB28" s="1447">
        <f>VLOOKUP($C28,'3B.Demographic'!$C$15:$N$414,7,FALSE)</f>
        <v>0</v>
      </c>
      <c r="AC28" s="1447">
        <f>VLOOKUP($C28,'3B.Demographic'!$C$15:$N$414,8,FALSE)</f>
        <v>0</v>
      </c>
      <c r="AD28" s="1447">
        <f>VLOOKUP($C28,'3B.Demographic'!$C$15:$N$414,9,FALSE)</f>
        <v>0</v>
      </c>
      <c r="AE28" s="1447">
        <f>VLOOKUP($C28,'3B.Demographic'!$C$15:$N$414,10,FALSE)</f>
        <v>0</v>
      </c>
      <c r="AF28" s="1475">
        <f>VLOOKUP($C28,'3B.Demographic'!$C$15:$N$414,11,FALSE)</f>
        <v>0</v>
      </c>
      <c r="AG28" s="1229">
        <f>VLOOKUP($C28,'3B.Demographic'!$C$15:$N$414,12,FALSE)</f>
        <v>0</v>
      </c>
      <c r="AK28" s="557" t="s">
        <v>41</v>
      </c>
    </row>
    <row r="29" spans="1:39" ht="20.100000000000001" customHeight="1">
      <c r="A29" s="217" t="str">
        <f>IF(D29&lt;&gt;"", ' 1A.Prop&amp;Residents'!$B$7, "")</f>
        <v/>
      </c>
      <c r="B29" s="217" t="str">
        <f t="shared" si="0"/>
        <v/>
      </c>
      <c r="C29" s="34">
        <v>15</v>
      </c>
      <c r="D29" s="153"/>
      <c r="E29" s="154"/>
      <c r="F29" s="1775"/>
      <c r="G29" s="155"/>
      <c r="H29" s="156"/>
      <c r="I29" s="154"/>
      <c r="J29" s="157"/>
      <c r="K29" s="156"/>
      <c r="L29" s="154"/>
      <c r="M29" s="609" t="str">
        <f>IF(L29="","",IF(E29="","",IF('1B.TransitionalProg'!$H$8&gt;0,"",VLOOKUP($E29,' 1A.Prop&amp;Residents'!$P$41:$R$47,2,FALSE))))</f>
        <v/>
      </c>
      <c r="N29" s="609" t="str">
        <f>IF(L29="","",IF(E29="","",IF('1B.TransitionalProg'!$H$8&gt;0,"",VLOOKUP($E29,' 1A.Prop&amp;Residents'!$P$41:$R$47,3,FALSE))))</f>
        <v/>
      </c>
      <c r="O29" s="610" t="str">
        <f>IF(L29="", "", IF(E29="", "", IF('1B.TransitionalProg'!$H$8&gt;0,"",IF(L29&lt;M29,"overHOUSED?",IF(L29&gt;N29, "OVERcrowded?","")))))</f>
        <v/>
      </c>
      <c r="P29" s="623"/>
      <c r="Q29" s="154"/>
      <c r="R29" s="154"/>
      <c r="S29" s="156"/>
      <c r="T29" s="156"/>
      <c r="U29" s="156"/>
      <c r="V29" s="156"/>
      <c r="W29" s="1580" t="str">
        <f t="shared" si="1"/>
        <v/>
      </c>
      <c r="X29" s="155"/>
      <c r="Y29" s="156"/>
      <c r="Z29" s="233" t="str">
        <f t="shared" si="2"/>
        <v/>
      </c>
      <c r="AA29" s="1447">
        <f>VLOOKUP($C29,'3B.Demographic'!$C$15:$N$414,6,FALSE)</f>
        <v>0</v>
      </c>
      <c r="AB29" s="1447">
        <f>VLOOKUP($C29,'3B.Demographic'!$C$15:$N$414,7,FALSE)</f>
        <v>0</v>
      </c>
      <c r="AC29" s="1447">
        <f>VLOOKUP($C29,'3B.Demographic'!$C$15:$N$414,8,FALSE)</f>
        <v>0</v>
      </c>
      <c r="AD29" s="1447">
        <f>VLOOKUP($C29,'3B.Demographic'!$C$15:$N$414,9,FALSE)</f>
        <v>0</v>
      </c>
      <c r="AE29" s="1447">
        <f>VLOOKUP($C29,'3B.Demographic'!$C$15:$N$414,10,FALSE)</f>
        <v>0</v>
      </c>
      <c r="AF29" s="1475">
        <f>VLOOKUP($C29,'3B.Demographic'!$C$15:$N$414,11,FALSE)</f>
        <v>0</v>
      </c>
      <c r="AG29" s="1229">
        <f>VLOOKUP($C29,'3B.Demographic'!$C$15:$N$414,12,FALSE)</f>
        <v>0</v>
      </c>
      <c r="AK29" s="36" t="s">
        <v>195</v>
      </c>
    </row>
    <row r="30" spans="1:39" ht="20.100000000000001" customHeight="1">
      <c r="A30" s="217" t="str">
        <f>IF(D30&lt;&gt;"", ' 1A.Prop&amp;Residents'!$B$7, "")</f>
        <v/>
      </c>
      <c r="B30" s="217" t="str">
        <f t="shared" si="0"/>
        <v/>
      </c>
      <c r="C30" s="34">
        <v>16</v>
      </c>
      <c r="D30" s="153"/>
      <c r="E30" s="154"/>
      <c r="F30" s="1775"/>
      <c r="G30" s="155"/>
      <c r="H30" s="156"/>
      <c r="I30" s="154"/>
      <c r="J30" s="157"/>
      <c r="K30" s="156"/>
      <c r="L30" s="154"/>
      <c r="M30" s="609" t="str">
        <f>IF(L30="","",IF(E30="","",IF('1B.TransitionalProg'!$H$8&gt;0,"",VLOOKUP($E30,' 1A.Prop&amp;Residents'!$P$41:$R$47,2,FALSE))))</f>
        <v/>
      </c>
      <c r="N30" s="609" t="str">
        <f>IF(L30="","",IF(E30="","",IF('1B.TransitionalProg'!$H$8&gt;0,"",VLOOKUP($E30,' 1A.Prop&amp;Residents'!$P$41:$R$47,3,FALSE))))</f>
        <v/>
      </c>
      <c r="O30" s="610" t="str">
        <f>IF(L30="", "", IF(E30="", "", IF('1B.TransitionalProg'!$H$8&gt;0,"",IF(L30&lt;M30,"overHOUSED?",IF(L30&gt;N30, "OVERcrowded?","")))))</f>
        <v/>
      </c>
      <c r="P30" s="623"/>
      <c r="Q30" s="154"/>
      <c r="R30" s="154"/>
      <c r="S30" s="156"/>
      <c r="T30" s="156"/>
      <c r="U30" s="156"/>
      <c r="V30" s="156"/>
      <c r="W30" s="1580" t="str">
        <f t="shared" si="1"/>
        <v/>
      </c>
      <c r="X30" s="155"/>
      <c r="Y30" s="156"/>
      <c r="Z30" s="233" t="str">
        <f t="shared" si="2"/>
        <v/>
      </c>
      <c r="AA30" s="1447">
        <f>VLOOKUP($C30,'3B.Demographic'!$C$15:$N$414,6,FALSE)</f>
        <v>0</v>
      </c>
      <c r="AB30" s="1447">
        <f>VLOOKUP($C30,'3B.Demographic'!$C$15:$N$414,7,FALSE)</f>
        <v>0</v>
      </c>
      <c r="AC30" s="1447">
        <f>VLOOKUP($C30,'3B.Demographic'!$C$15:$N$414,8,FALSE)</f>
        <v>0</v>
      </c>
      <c r="AD30" s="1447">
        <f>VLOOKUP($C30,'3B.Demographic'!$C$15:$N$414,9,FALSE)</f>
        <v>0</v>
      </c>
      <c r="AE30" s="1447">
        <f>VLOOKUP($C30,'3B.Demographic'!$C$15:$N$414,10,FALSE)</f>
        <v>0</v>
      </c>
      <c r="AF30" s="1475">
        <f>VLOOKUP($C30,'3B.Demographic'!$C$15:$N$414,11,FALSE)</f>
        <v>0</v>
      </c>
      <c r="AG30" s="1229">
        <f>VLOOKUP($C30,'3B.Demographic'!$C$15:$N$414,12,FALSE)</f>
        <v>0</v>
      </c>
    </row>
    <row r="31" spans="1:39" ht="20.100000000000001" customHeight="1">
      <c r="A31" s="217" t="str">
        <f>IF(D31&lt;&gt;"", ' 1A.Prop&amp;Residents'!$B$7, "")</f>
        <v/>
      </c>
      <c r="B31" s="217" t="str">
        <f t="shared" si="0"/>
        <v/>
      </c>
      <c r="C31" s="34">
        <v>17</v>
      </c>
      <c r="D31" s="153"/>
      <c r="E31" s="154"/>
      <c r="F31" s="1775"/>
      <c r="G31" s="155"/>
      <c r="H31" s="156"/>
      <c r="I31" s="154"/>
      <c r="J31" s="157"/>
      <c r="K31" s="156"/>
      <c r="L31" s="154"/>
      <c r="M31" s="609" t="str">
        <f>IF(L31="","",IF(E31="","",IF('1B.TransitionalProg'!$H$8&gt;0,"",VLOOKUP($E31,' 1A.Prop&amp;Residents'!$P$41:$R$47,2,FALSE))))</f>
        <v/>
      </c>
      <c r="N31" s="609" t="str">
        <f>IF(L31="","",IF(E31="","",IF('1B.TransitionalProg'!$H$8&gt;0,"",VLOOKUP($E31,' 1A.Prop&amp;Residents'!$P$41:$R$47,3,FALSE))))</f>
        <v/>
      </c>
      <c r="O31" s="610" t="str">
        <f>IF(L31="", "", IF(E31="", "", IF('1B.TransitionalProg'!$H$8&gt;0,"",IF(L31&lt;M31,"overHOUSED?",IF(L31&gt;N31, "OVERcrowded?","")))))</f>
        <v/>
      </c>
      <c r="P31" s="623"/>
      <c r="Q31" s="154"/>
      <c r="R31" s="154"/>
      <c r="S31" s="156"/>
      <c r="T31" s="156"/>
      <c r="U31" s="156"/>
      <c r="V31" s="156"/>
      <c r="W31" s="1580" t="str">
        <f t="shared" si="1"/>
        <v/>
      </c>
      <c r="X31" s="155"/>
      <c r="Y31" s="156"/>
      <c r="Z31" s="233" t="str">
        <f t="shared" si="2"/>
        <v/>
      </c>
      <c r="AA31" s="1447">
        <f>VLOOKUP($C31,'3B.Demographic'!$C$15:$N$414,6,FALSE)</f>
        <v>0</v>
      </c>
      <c r="AB31" s="1447">
        <f>VLOOKUP($C31,'3B.Demographic'!$C$15:$N$414,7,FALSE)</f>
        <v>0</v>
      </c>
      <c r="AC31" s="1447">
        <f>VLOOKUP($C31,'3B.Demographic'!$C$15:$N$414,8,FALSE)</f>
        <v>0</v>
      </c>
      <c r="AD31" s="1447">
        <f>VLOOKUP($C31,'3B.Demographic'!$C$15:$N$414,9,FALSE)</f>
        <v>0</v>
      </c>
      <c r="AE31" s="1447">
        <f>VLOOKUP($C31,'3B.Demographic'!$C$15:$N$414,10,FALSE)</f>
        <v>0</v>
      </c>
      <c r="AF31" s="1475">
        <f>VLOOKUP($C31,'3B.Demographic'!$C$15:$N$414,11,FALSE)</f>
        <v>0</v>
      </c>
      <c r="AG31" s="1229">
        <f>VLOOKUP($C31,'3B.Demographic'!$C$15:$N$414,12,FALSE)</f>
        <v>0</v>
      </c>
    </row>
    <row r="32" spans="1:39" ht="20.100000000000001" customHeight="1">
      <c r="A32" s="217" t="str">
        <f>IF(D32&lt;&gt;"", ' 1A.Prop&amp;Residents'!$B$7, "")</f>
        <v/>
      </c>
      <c r="B32" s="217" t="str">
        <f t="shared" si="0"/>
        <v/>
      </c>
      <c r="C32" s="34">
        <v>18</v>
      </c>
      <c r="D32" s="153"/>
      <c r="E32" s="154"/>
      <c r="F32" s="1775"/>
      <c r="G32" s="155"/>
      <c r="H32" s="156"/>
      <c r="I32" s="154"/>
      <c r="J32" s="157"/>
      <c r="K32" s="156"/>
      <c r="L32" s="154"/>
      <c r="M32" s="609" t="str">
        <f>IF(L32="","",IF(E32="","",IF('1B.TransitionalProg'!$H$8&gt;0,"",VLOOKUP($E32,' 1A.Prop&amp;Residents'!$P$41:$R$47,2,FALSE))))</f>
        <v/>
      </c>
      <c r="N32" s="609" t="str">
        <f>IF(L32="","",IF(E32="","",IF('1B.TransitionalProg'!$H$8&gt;0,"",VLOOKUP($E32,' 1A.Prop&amp;Residents'!$P$41:$R$47,3,FALSE))))</f>
        <v/>
      </c>
      <c r="O32" s="610" t="str">
        <f>IF(L32="", "", IF(E32="", "", IF('1B.TransitionalProg'!$H$8&gt;0,"",IF(L32&lt;M32,"overHOUSED?",IF(L32&gt;N32, "OVERcrowded?","")))))</f>
        <v/>
      </c>
      <c r="P32" s="623"/>
      <c r="Q32" s="154"/>
      <c r="R32" s="154"/>
      <c r="S32" s="156"/>
      <c r="T32" s="156"/>
      <c r="U32" s="156"/>
      <c r="V32" s="156"/>
      <c r="W32" s="1580" t="str">
        <f t="shared" si="1"/>
        <v/>
      </c>
      <c r="X32" s="155"/>
      <c r="Y32" s="156"/>
      <c r="Z32" s="233" t="str">
        <f t="shared" si="2"/>
        <v/>
      </c>
      <c r="AA32" s="1447">
        <f>VLOOKUP($C32,'3B.Demographic'!$C$15:$N$414,6,FALSE)</f>
        <v>0</v>
      </c>
      <c r="AB32" s="1447">
        <f>VLOOKUP($C32,'3B.Demographic'!$C$15:$N$414,7,FALSE)</f>
        <v>0</v>
      </c>
      <c r="AC32" s="1447">
        <f>VLOOKUP($C32,'3B.Demographic'!$C$15:$N$414,8,FALSE)</f>
        <v>0</v>
      </c>
      <c r="AD32" s="1447">
        <f>VLOOKUP($C32,'3B.Demographic'!$C$15:$N$414,9,FALSE)</f>
        <v>0</v>
      </c>
      <c r="AE32" s="1447">
        <f>VLOOKUP($C32,'3B.Demographic'!$C$15:$N$414,10,FALSE)</f>
        <v>0</v>
      </c>
      <c r="AF32" s="1475">
        <f>VLOOKUP($C32,'3B.Demographic'!$C$15:$N$414,11,FALSE)</f>
        <v>0</v>
      </c>
      <c r="AG32" s="1229">
        <f>VLOOKUP($C32,'3B.Demographic'!$C$15:$N$414,12,FALSE)</f>
        <v>0</v>
      </c>
    </row>
    <row r="33" spans="1:33" ht="20.100000000000001" customHeight="1">
      <c r="A33" s="217" t="str">
        <f>IF(D33&lt;&gt;"", ' 1A.Prop&amp;Residents'!$B$7, "")</f>
        <v/>
      </c>
      <c r="B33" s="217" t="str">
        <f t="shared" si="0"/>
        <v/>
      </c>
      <c r="C33" s="34">
        <v>19</v>
      </c>
      <c r="D33" s="153"/>
      <c r="E33" s="154"/>
      <c r="F33" s="1775"/>
      <c r="G33" s="155"/>
      <c r="H33" s="156"/>
      <c r="I33" s="154"/>
      <c r="J33" s="157"/>
      <c r="K33" s="156"/>
      <c r="L33" s="154"/>
      <c r="M33" s="609" t="str">
        <f>IF(L33="","",IF(E33="","",IF('1B.TransitionalProg'!$H$8&gt;0,"",VLOOKUP($E33,' 1A.Prop&amp;Residents'!$P$41:$R$47,2,FALSE))))</f>
        <v/>
      </c>
      <c r="N33" s="609" t="str">
        <f>IF(L33="","",IF(E33="","",IF('1B.TransitionalProg'!$H$8&gt;0,"",VLOOKUP($E33,' 1A.Prop&amp;Residents'!$P$41:$R$47,3,FALSE))))</f>
        <v/>
      </c>
      <c r="O33" s="610" t="str">
        <f>IF(L33="", "", IF(E33="", "", IF('1B.TransitionalProg'!$H$8&gt;0,"",IF(L33&lt;M33,"overHOUSED?",IF(L33&gt;N33, "OVERcrowded?","")))))</f>
        <v/>
      </c>
      <c r="P33" s="623"/>
      <c r="Q33" s="154"/>
      <c r="R33" s="154"/>
      <c r="S33" s="156"/>
      <c r="T33" s="156"/>
      <c r="U33" s="156"/>
      <c r="V33" s="156"/>
      <c r="W33" s="1580" t="str">
        <f t="shared" si="1"/>
        <v/>
      </c>
      <c r="X33" s="155"/>
      <c r="Y33" s="156"/>
      <c r="Z33" s="233" t="str">
        <f t="shared" si="2"/>
        <v/>
      </c>
      <c r="AA33" s="1447">
        <f>VLOOKUP($C33,'3B.Demographic'!$C$15:$N$414,6,FALSE)</f>
        <v>0</v>
      </c>
      <c r="AB33" s="1447">
        <f>VLOOKUP($C33,'3B.Demographic'!$C$15:$N$414,7,FALSE)</f>
        <v>0</v>
      </c>
      <c r="AC33" s="1447">
        <f>VLOOKUP($C33,'3B.Demographic'!$C$15:$N$414,8,FALSE)</f>
        <v>0</v>
      </c>
      <c r="AD33" s="1447">
        <f>VLOOKUP($C33,'3B.Demographic'!$C$15:$N$414,9,FALSE)</f>
        <v>0</v>
      </c>
      <c r="AE33" s="1447">
        <f>VLOOKUP($C33,'3B.Demographic'!$C$15:$N$414,10,FALSE)</f>
        <v>0</v>
      </c>
      <c r="AF33" s="1475">
        <f>VLOOKUP($C33,'3B.Demographic'!$C$15:$N$414,11,FALSE)</f>
        <v>0</v>
      </c>
      <c r="AG33" s="1229">
        <f>VLOOKUP($C33,'3B.Demographic'!$C$15:$N$414,12,FALSE)</f>
        <v>0</v>
      </c>
    </row>
    <row r="34" spans="1:33" ht="20.100000000000001" customHeight="1">
      <c r="A34" s="217" t="str">
        <f>IF(D34&lt;&gt;"", ' 1A.Prop&amp;Residents'!$B$7, "")</f>
        <v/>
      </c>
      <c r="B34" s="217" t="str">
        <f t="shared" si="0"/>
        <v/>
      </c>
      <c r="C34" s="34">
        <v>20</v>
      </c>
      <c r="D34" s="153"/>
      <c r="E34" s="154"/>
      <c r="F34" s="1775"/>
      <c r="G34" s="155"/>
      <c r="H34" s="156"/>
      <c r="I34" s="154"/>
      <c r="J34" s="157"/>
      <c r="K34" s="156"/>
      <c r="L34" s="154"/>
      <c r="M34" s="609" t="str">
        <f>IF(L34="","",IF(E34="","",IF('1B.TransitionalProg'!$H$8&gt;0,"",VLOOKUP($E34,' 1A.Prop&amp;Residents'!$P$41:$R$47,2,FALSE))))</f>
        <v/>
      </c>
      <c r="N34" s="609" t="str">
        <f>IF(L34="","",IF(E34="","",IF('1B.TransitionalProg'!$H$8&gt;0,"",VLOOKUP($E34,' 1A.Prop&amp;Residents'!$P$41:$R$47,3,FALSE))))</f>
        <v/>
      </c>
      <c r="O34" s="610" t="str">
        <f>IF(L34="", "", IF(E34="", "", IF('1B.TransitionalProg'!$H$8&gt;0,"",IF(L34&lt;M34,"overHOUSED?",IF(L34&gt;N34, "OVERcrowded?","")))))</f>
        <v/>
      </c>
      <c r="P34" s="623"/>
      <c r="Q34" s="154"/>
      <c r="R34" s="154"/>
      <c r="S34" s="156"/>
      <c r="T34" s="156"/>
      <c r="U34" s="156"/>
      <c r="V34" s="156"/>
      <c r="W34" s="1580" t="str">
        <f t="shared" si="1"/>
        <v/>
      </c>
      <c r="X34" s="155"/>
      <c r="Y34" s="156"/>
      <c r="Z34" s="233" t="str">
        <f t="shared" si="2"/>
        <v/>
      </c>
      <c r="AA34" s="1447">
        <f>VLOOKUP($C34,'3B.Demographic'!$C$15:$N$414,6,FALSE)</f>
        <v>0</v>
      </c>
      <c r="AB34" s="1447">
        <f>VLOOKUP($C34,'3B.Demographic'!$C$15:$N$414,7,FALSE)</f>
        <v>0</v>
      </c>
      <c r="AC34" s="1447">
        <f>VLOOKUP($C34,'3B.Demographic'!$C$15:$N$414,8,FALSE)</f>
        <v>0</v>
      </c>
      <c r="AD34" s="1447">
        <f>VLOOKUP($C34,'3B.Demographic'!$C$15:$N$414,9,FALSE)</f>
        <v>0</v>
      </c>
      <c r="AE34" s="1447">
        <f>VLOOKUP($C34,'3B.Demographic'!$C$15:$N$414,10,FALSE)</f>
        <v>0</v>
      </c>
      <c r="AF34" s="1475">
        <f>VLOOKUP($C34,'3B.Demographic'!$C$15:$N$414,11,FALSE)</f>
        <v>0</v>
      </c>
      <c r="AG34" s="1229">
        <f>VLOOKUP($C34,'3B.Demographic'!$C$15:$N$414,12,FALSE)</f>
        <v>0</v>
      </c>
    </row>
    <row r="35" spans="1:33" ht="20.100000000000001" customHeight="1">
      <c r="A35" s="217" t="str">
        <f>IF(D35&lt;&gt;"", ' 1A.Prop&amp;Residents'!$B$7, "")</f>
        <v/>
      </c>
      <c r="B35" s="217" t="str">
        <f t="shared" si="0"/>
        <v/>
      </c>
      <c r="C35" s="34">
        <v>21</v>
      </c>
      <c r="D35" s="153"/>
      <c r="E35" s="154"/>
      <c r="F35" s="1775"/>
      <c r="G35" s="155"/>
      <c r="H35" s="156"/>
      <c r="I35" s="154"/>
      <c r="J35" s="157"/>
      <c r="K35" s="156"/>
      <c r="L35" s="154"/>
      <c r="M35" s="609" t="str">
        <f>IF(L35="","",IF(E35="","",IF('1B.TransitionalProg'!$H$8&gt;0,"",VLOOKUP($E35,' 1A.Prop&amp;Residents'!$P$41:$R$47,2,FALSE))))</f>
        <v/>
      </c>
      <c r="N35" s="609" t="str">
        <f>IF(L35="","",IF(E35="","",IF('1B.TransitionalProg'!$H$8&gt;0,"",VLOOKUP($E35,' 1A.Prop&amp;Residents'!$P$41:$R$47,3,FALSE))))</f>
        <v/>
      </c>
      <c r="O35" s="610" t="str">
        <f>IF(L35="", "", IF(E35="", "", IF('1B.TransitionalProg'!$H$8&gt;0,"",IF(L35&lt;M35,"overHOUSED?",IF(L35&gt;N35, "OVERcrowded?","")))))</f>
        <v/>
      </c>
      <c r="P35" s="623"/>
      <c r="Q35" s="154"/>
      <c r="R35" s="154"/>
      <c r="S35" s="156"/>
      <c r="T35" s="156"/>
      <c r="U35" s="156"/>
      <c r="V35" s="156"/>
      <c r="W35" s="1580" t="str">
        <f t="shared" si="1"/>
        <v/>
      </c>
      <c r="X35" s="155"/>
      <c r="Y35" s="156"/>
      <c r="Z35" s="233" t="str">
        <f t="shared" si="2"/>
        <v/>
      </c>
      <c r="AA35" s="1447">
        <f>VLOOKUP($C35,'3B.Demographic'!$C$15:$N$414,6,FALSE)</f>
        <v>0</v>
      </c>
      <c r="AB35" s="1447">
        <f>VLOOKUP($C35,'3B.Demographic'!$C$15:$N$414,7,FALSE)</f>
        <v>0</v>
      </c>
      <c r="AC35" s="1447">
        <f>VLOOKUP($C35,'3B.Demographic'!$C$15:$N$414,8,FALSE)</f>
        <v>0</v>
      </c>
      <c r="AD35" s="1447">
        <f>VLOOKUP($C35,'3B.Demographic'!$C$15:$N$414,9,FALSE)</f>
        <v>0</v>
      </c>
      <c r="AE35" s="1447">
        <f>VLOOKUP($C35,'3B.Demographic'!$C$15:$N$414,10,FALSE)</f>
        <v>0</v>
      </c>
      <c r="AF35" s="1475">
        <f>VLOOKUP($C35,'3B.Demographic'!$C$15:$N$414,11,FALSE)</f>
        <v>0</v>
      </c>
      <c r="AG35" s="1229">
        <f>VLOOKUP($C35,'3B.Demographic'!$C$15:$N$414,12,FALSE)</f>
        <v>0</v>
      </c>
    </row>
    <row r="36" spans="1:33" ht="20.100000000000001" customHeight="1">
      <c r="A36" s="217" t="str">
        <f>IF(D36&lt;&gt;"", ' 1A.Prop&amp;Residents'!$B$7, "")</f>
        <v/>
      </c>
      <c r="B36" s="217" t="str">
        <f t="shared" si="0"/>
        <v/>
      </c>
      <c r="C36" s="34">
        <v>22</v>
      </c>
      <c r="D36" s="153"/>
      <c r="E36" s="154"/>
      <c r="F36" s="1775"/>
      <c r="G36" s="155"/>
      <c r="H36" s="156"/>
      <c r="I36" s="154"/>
      <c r="J36" s="157"/>
      <c r="K36" s="156"/>
      <c r="L36" s="154"/>
      <c r="M36" s="609" t="str">
        <f>IF(L36="","",IF(E36="","",IF('1B.TransitionalProg'!$H$8&gt;0,"",VLOOKUP($E36,' 1A.Prop&amp;Residents'!$P$41:$R$47,2,FALSE))))</f>
        <v/>
      </c>
      <c r="N36" s="609" t="str">
        <f>IF(L36="","",IF(E36="","",IF('1B.TransitionalProg'!$H$8&gt;0,"",VLOOKUP($E36,' 1A.Prop&amp;Residents'!$P$41:$R$47,3,FALSE))))</f>
        <v/>
      </c>
      <c r="O36" s="610" t="str">
        <f>IF(L36="", "", IF(E36="", "", IF('1B.TransitionalProg'!$H$8&gt;0,"",IF(L36&lt;M36,"overHOUSED?",IF(L36&gt;N36, "OVERcrowded?","")))))</f>
        <v/>
      </c>
      <c r="P36" s="623"/>
      <c r="Q36" s="154"/>
      <c r="R36" s="154"/>
      <c r="S36" s="156"/>
      <c r="T36" s="156"/>
      <c r="U36" s="156"/>
      <c r="V36" s="156"/>
      <c r="W36" s="1580" t="str">
        <f t="shared" si="1"/>
        <v/>
      </c>
      <c r="X36" s="155"/>
      <c r="Y36" s="156"/>
      <c r="Z36" s="233" t="str">
        <f t="shared" si="2"/>
        <v/>
      </c>
      <c r="AA36" s="1447">
        <f>VLOOKUP($C36,'3B.Demographic'!$C$15:$N$414,6,FALSE)</f>
        <v>0</v>
      </c>
      <c r="AB36" s="1447">
        <f>VLOOKUP($C36,'3B.Demographic'!$C$15:$N$414,7,FALSE)</f>
        <v>0</v>
      </c>
      <c r="AC36" s="1447">
        <f>VLOOKUP($C36,'3B.Demographic'!$C$15:$N$414,8,FALSE)</f>
        <v>0</v>
      </c>
      <c r="AD36" s="1447">
        <f>VLOOKUP($C36,'3B.Demographic'!$C$15:$N$414,9,FALSE)</f>
        <v>0</v>
      </c>
      <c r="AE36" s="1447">
        <f>VLOOKUP($C36,'3B.Demographic'!$C$15:$N$414,10,FALSE)</f>
        <v>0</v>
      </c>
      <c r="AF36" s="1475">
        <f>VLOOKUP($C36,'3B.Demographic'!$C$15:$N$414,11,FALSE)</f>
        <v>0</v>
      </c>
      <c r="AG36" s="1229">
        <f>VLOOKUP($C36,'3B.Demographic'!$C$15:$N$414,12,FALSE)</f>
        <v>0</v>
      </c>
    </row>
    <row r="37" spans="1:33" ht="20.100000000000001" customHeight="1">
      <c r="A37" s="217" t="str">
        <f>IF(D37&lt;&gt;"", ' 1A.Prop&amp;Residents'!$B$7, "")</f>
        <v/>
      </c>
      <c r="B37" s="217" t="str">
        <f t="shared" si="0"/>
        <v/>
      </c>
      <c r="C37" s="34">
        <v>23</v>
      </c>
      <c r="D37" s="153"/>
      <c r="E37" s="154"/>
      <c r="F37" s="1775"/>
      <c r="G37" s="155"/>
      <c r="H37" s="156"/>
      <c r="I37" s="154"/>
      <c r="J37" s="157"/>
      <c r="K37" s="156"/>
      <c r="L37" s="154"/>
      <c r="M37" s="609" t="str">
        <f>IF(L37="","",IF(E37="","",IF('1B.TransitionalProg'!$H$8&gt;0,"",VLOOKUP($E37,' 1A.Prop&amp;Residents'!$P$41:$R$47,2,FALSE))))</f>
        <v/>
      </c>
      <c r="N37" s="609" t="str">
        <f>IF(L37="","",IF(E37="","",IF('1B.TransitionalProg'!$H$8&gt;0,"",VLOOKUP($E37,' 1A.Prop&amp;Residents'!$P$41:$R$47,3,FALSE))))</f>
        <v/>
      </c>
      <c r="O37" s="610" t="str">
        <f>IF(L37="", "", IF(E37="", "", IF('1B.TransitionalProg'!$H$8&gt;0,"",IF(L37&lt;M37,"overHOUSED?",IF(L37&gt;N37, "OVERcrowded?","")))))</f>
        <v/>
      </c>
      <c r="P37" s="623"/>
      <c r="Q37" s="154"/>
      <c r="R37" s="154"/>
      <c r="S37" s="156"/>
      <c r="T37" s="156"/>
      <c r="U37" s="156"/>
      <c r="V37" s="156"/>
      <c r="W37" s="1580" t="str">
        <f t="shared" si="1"/>
        <v/>
      </c>
      <c r="X37" s="155"/>
      <c r="Y37" s="156"/>
      <c r="Z37" s="233" t="str">
        <f t="shared" si="2"/>
        <v/>
      </c>
      <c r="AA37" s="1447">
        <f>VLOOKUP($C37,'3B.Demographic'!$C$15:$N$414,6,FALSE)</f>
        <v>0</v>
      </c>
      <c r="AB37" s="1447">
        <f>VLOOKUP($C37,'3B.Demographic'!$C$15:$N$414,7,FALSE)</f>
        <v>0</v>
      </c>
      <c r="AC37" s="1447">
        <f>VLOOKUP($C37,'3B.Demographic'!$C$15:$N$414,8,FALSE)</f>
        <v>0</v>
      </c>
      <c r="AD37" s="1447">
        <f>VLOOKUP($C37,'3B.Demographic'!$C$15:$N$414,9,FALSE)</f>
        <v>0</v>
      </c>
      <c r="AE37" s="1447">
        <f>VLOOKUP($C37,'3B.Demographic'!$C$15:$N$414,10,FALSE)</f>
        <v>0</v>
      </c>
      <c r="AF37" s="1475">
        <f>VLOOKUP($C37,'3B.Demographic'!$C$15:$N$414,11,FALSE)</f>
        <v>0</v>
      </c>
      <c r="AG37" s="1229">
        <f>VLOOKUP($C37,'3B.Demographic'!$C$15:$N$414,12,FALSE)</f>
        <v>0</v>
      </c>
    </row>
    <row r="38" spans="1:33" ht="20.100000000000001" customHeight="1">
      <c r="A38" s="217" t="str">
        <f>IF(D38&lt;&gt;"", ' 1A.Prop&amp;Residents'!$B$7, "")</f>
        <v/>
      </c>
      <c r="B38" s="217" t="str">
        <f t="shared" si="0"/>
        <v/>
      </c>
      <c r="C38" s="34">
        <v>24</v>
      </c>
      <c r="D38" s="153"/>
      <c r="E38" s="154"/>
      <c r="F38" s="1775"/>
      <c r="G38" s="155"/>
      <c r="H38" s="156"/>
      <c r="I38" s="154"/>
      <c r="J38" s="157"/>
      <c r="K38" s="156"/>
      <c r="L38" s="154"/>
      <c r="M38" s="609" t="str">
        <f>IF(L38="","",IF(E38="","",IF('1B.TransitionalProg'!$H$8&gt;0,"",VLOOKUP($E38,' 1A.Prop&amp;Residents'!$P$41:$R$47,2,FALSE))))</f>
        <v/>
      </c>
      <c r="N38" s="609" t="str">
        <f>IF(L38="","",IF(E38="","",IF('1B.TransitionalProg'!$H$8&gt;0,"",VLOOKUP($E38,' 1A.Prop&amp;Residents'!$P$41:$R$47,3,FALSE))))</f>
        <v/>
      </c>
      <c r="O38" s="610" t="str">
        <f>IF(L38="", "", IF(E38="", "", IF('1B.TransitionalProg'!$H$8&gt;0,"",IF(L38&lt;M38,"overHOUSED?",IF(L38&gt;N38, "OVERcrowded?","")))))</f>
        <v/>
      </c>
      <c r="P38" s="623"/>
      <c r="Q38" s="154"/>
      <c r="R38" s="154"/>
      <c r="S38" s="156"/>
      <c r="T38" s="156"/>
      <c r="U38" s="156"/>
      <c r="V38" s="156"/>
      <c r="W38" s="1580" t="str">
        <f t="shared" si="1"/>
        <v/>
      </c>
      <c r="X38" s="155"/>
      <c r="Y38" s="156"/>
      <c r="Z38" s="233" t="str">
        <f t="shared" si="2"/>
        <v/>
      </c>
      <c r="AA38" s="1447">
        <f>VLOOKUP($C38,'3B.Demographic'!$C$15:$N$414,6,FALSE)</f>
        <v>0</v>
      </c>
      <c r="AB38" s="1447">
        <f>VLOOKUP($C38,'3B.Demographic'!$C$15:$N$414,7,FALSE)</f>
        <v>0</v>
      </c>
      <c r="AC38" s="1447">
        <f>VLOOKUP($C38,'3B.Demographic'!$C$15:$N$414,8,FALSE)</f>
        <v>0</v>
      </c>
      <c r="AD38" s="1447">
        <f>VLOOKUP($C38,'3B.Demographic'!$C$15:$N$414,9,FALSE)</f>
        <v>0</v>
      </c>
      <c r="AE38" s="1447">
        <f>VLOOKUP($C38,'3B.Demographic'!$C$15:$N$414,10,FALSE)</f>
        <v>0</v>
      </c>
      <c r="AF38" s="1475">
        <f>VLOOKUP($C38,'3B.Demographic'!$C$15:$N$414,11,FALSE)</f>
        <v>0</v>
      </c>
      <c r="AG38" s="1229">
        <f>VLOOKUP($C38,'3B.Demographic'!$C$15:$N$414,12,FALSE)</f>
        <v>0</v>
      </c>
    </row>
    <row r="39" spans="1:33" ht="20.100000000000001" customHeight="1">
      <c r="A39" s="217" t="str">
        <f>IF(D39&lt;&gt;"", ' 1A.Prop&amp;Residents'!$B$7, "")</f>
        <v/>
      </c>
      <c r="B39" s="217" t="str">
        <f t="shared" si="0"/>
        <v/>
      </c>
      <c r="C39" s="34">
        <v>25</v>
      </c>
      <c r="D39" s="153"/>
      <c r="E39" s="154"/>
      <c r="F39" s="1775"/>
      <c r="G39" s="155"/>
      <c r="H39" s="156"/>
      <c r="I39" s="154"/>
      <c r="J39" s="157"/>
      <c r="K39" s="156"/>
      <c r="L39" s="154"/>
      <c r="M39" s="609" t="str">
        <f>IF(L39="","",IF(E39="","",IF('1B.TransitionalProg'!$H$8&gt;0,"",VLOOKUP($E39,' 1A.Prop&amp;Residents'!$P$41:$R$47,2,FALSE))))</f>
        <v/>
      </c>
      <c r="N39" s="609" t="str">
        <f>IF(L39="","",IF(E39="","",IF('1B.TransitionalProg'!$H$8&gt;0,"",VLOOKUP($E39,' 1A.Prop&amp;Residents'!$P$41:$R$47,3,FALSE))))</f>
        <v/>
      </c>
      <c r="O39" s="610" t="str">
        <f>IF(L39="", "", IF(E39="", "", IF('1B.TransitionalProg'!$H$8&gt;0,"",IF(L39&lt;M39,"overHOUSED?",IF(L39&gt;N39, "OVERcrowded?","")))))</f>
        <v/>
      </c>
      <c r="P39" s="623"/>
      <c r="Q39" s="154"/>
      <c r="R39" s="154"/>
      <c r="S39" s="156"/>
      <c r="T39" s="156"/>
      <c r="U39" s="156"/>
      <c r="V39" s="156"/>
      <c r="W39" s="1580" t="str">
        <f t="shared" si="1"/>
        <v/>
      </c>
      <c r="X39" s="155"/>
      <c r="Y39" s="156"/>
      <c r="Z39" s="233" t="str">
        <f t="shared" si="2"/>
        <v/>
      </c>
      <c r="AA39" s="1447">
        <f>VLOOKUP($C39,'3B.Demographic'!$C$15:$N$414,6,FALSE)</f>
        <v>0</v>
      </c>
      <c r="AB39" s="1447">
        <f>VLOOKUP($C39,'3B.Demographic'!$C$15:$N$414,7,FALSE)</f>
        <v>0</v>
      </c>
      <c r="AC39" s="1447">
        <f>VLOOKUP($C39,'3B.Demographic'!$C$15:$N$414,8,FALSE)</f>
        <v>0</v>
      </c>
      <c r="AD39" s="1447">
        <f>VLOOKUP($C39,'3B.Demographic'!$C$15:$N$414,9,FALSE)</f>
        <v>0</v>
      </c>
      <c r="AE39" s="1447">
        <f>VLOOKUP($C39,'3B.Demographic'!$C$15:$N$414,10,FALSE)</f>
        <v>0</v>
      </c>
      <c r="AF39" s="1475">
        <f>VLOOKUP($C39,'3B.Demographic'!$C$15:$N$414,11,FALSE)</f>
        <v>0</v>
      </c>
      <c r="AG39" s="1229">
        <f>VLOOKUP($C39,'3B.Demographic'!$C$15:$N$414,12,FALSE)</f>
        <v>0</v>
      </c>
    </row>
    <row r="40" spans="1:33" ht="20.100000000000001" customHeight="1">
      <c r="A40" s="217" t="str">
        <f>IF(D40&lt;&gt;"", ' 1A.Prop&amp;Residents'!$B$7, "")</f>
        <v/>
      </c>
      <c r="B40" s="217" t="str">
        <f t="shared" si="0"/>
        <v/>
      </c>
      <c r="C40" s="34">
        <v>26</v>
      </c>
      <c r="D40" s="153"/>
      <c r="E40" s="154"/>
      <c r="F40" s="1775"/>
      <c r="G40" s="155"/>
      <c r="H40" s="156"/>
      <c r="I40" s="154"/>
      <c r="J40" s="157"/>
      <c r="K40" s="156"/>
      <c r="L40" s="154"/>
      <c r="M40" s="609" t="str">
        <f>IF(L40="","",IF(E40="","",IF('1B.TransitionalProg'!$H$8&gt;0,"",VLOOKUP($E40,' 1A.Prop&amp;Residents'!$P$41:$R$47,2,FALSE))))</f>
        <v/>
      </c>
      <c r="N40" s="609" t="str">
        <f>IF(L40="","",IF(E40="","",IF('1B.TransitionalProg'!$H$8&gt;0,"",VLOOKUP($E40,' 1A.Prop&amp;Residents'!$P$41:$R$47,3,FALSE))))</f>
        <v/>
      </c>
      <c r="O40" s="610" t="str">
        <f>IF(L40="", "", IF(E40="", "", IF('1B.TransitionalProg'!$H$8&gt;0,"",IF(L40&lt;M40,"overHOUSED?",IF(L40&gt;N40, "OVERcrowded?","")))))</f>
        <v/>
      </c>
      <c r="P40" s="623"/>
      <c r="Q40" s="154"/>
      <c r="R40" s="154"/>
      <c r="S40" s="156"/>
      <c r="T40" s="156"/>
      <c r="U40" s="156"/>
      <c r="V40" s="156"/>
      <c r="W40" s="1580" t="str">
        <f t="shared" si="1"/>
        <v/>
      </c>
      <c r="X40" s="155"/>
      <c r="Y40" s="156"/>
      <c r="Z40" s="233" t="str">
        <f t="shared" si="2"/>
        <v/>
      </c>
      <c r="AA40" s="1447">
        <f>VLOOKUP($C40,'3B.Demographic'!$C$15:$N$414,6,FALSE)</f>
        <v>0</v>
      </c>
      <c r="AB40" s="1447">
        <f>VLOOKUP($C40,'3B.Demographic'!$C$15:$N$414,7,FALSE)</f>
        <v>0</v>
      </c>
      <c r="AC40" s="1447">
        <f>VLOOKUP($C40,'3B.Demographic'!$C$15:$N$414,8,FALSE)</f>
        <v>0</v>
      </c>
      <c r="AD40" s="1447">
        <f>VLOOKUP($C40,'3B.Demographic'!$C$15:$N$414,9,FALSE)</f>
        <v>0</v>
      </c>
      <c r="AE40" s="1447">
        <f>VLOOKUP($C40,'3B.Demographic'!$C$15:$N$414,10,FALSE)</f>
        <v>0</v>
      </c>
      <c r="AF40" s="1475">
        <f>VLOOKUP($C40,'3B.Demographic'!$C$15:$N$414,11,FALSE)</f>
        <v>0</v>
      </c>
      <c r="AG40" s="1229">
        <f>VLOOKUP($C40,'3B.Demographic'!$C$15:$N$414,12,FALSE)</f>
        <v>0</v>
      </c>
    </row>
    <row r="41" spans="1:33" ht="20.100000000000001" customHeight="1">
      <c r="A41" s="217" t="str">
        <f>IF(D41&lt;&gt;"", ' 1A.Prop&amp;Residents'!$B$7, "")</f>
        <v/>
      </c>
      <c r="B41" s="217" t="str">
        <f t="shared" si="0"/>
        <v/>
      </c>
      <c r="C41" s="34">
        <v>27</v>
      </c>
      <c r="D41" s="153"/>
      <c r="E41" s="154"/>
      <c r="F41" s="1775"/>
      <c r="G41" s="155"/>
      <c r="H41" s="156"/>
      <c r="I41" s="154"/>
      <c r="J41" s="157"/>
      <c r="K41" s="156"/>
      <c r="L41" s="154"/>
      <c r="M41" s="609" t="str">
        <f>IF(L41="","",IF(E41="","",IF('1B.TransitionalProg'!$H$8&gt;0,"",VLOOKUP($E41,' 1A.Prop&amp;Residents'!$P$41:$R$47,2,FALSE))))</f>
        <v/>
      </c>
      <c r="N41" s="609" t="str">
        <f>IF(L41="","",IF(E41="","",IF('1B.TransitionalProg'!$H$8&gt;0,"",VLOOKUP($E41,' 1A.Prop&amp;Residents'!$P$41:$R$47,3,FALSE))))</f>
        <v/>
      </c>
      <c r="O41" s="610" t="str">
        <f>IF(L41="", "", IF(E41="", "", IF('1B.TransitionalProg'!$H$8&gt;0,"",IF(L41&lt;M41,"overHOUSED?",IF(L41&gt;N41, "OVERcrowded?","")))))</f>
        <v/>
      </c>
      <c r="P41" s="623"/>
      <c r="Q41" s="154"/>
      <c r="R41" s="154"/>
      <c r="S41" s="156"/>
      <c r="T41" s="156"/>
      <c r="U41" s="156"/>
      <c r="V41" s="156"/>
      <c r="W41" s="1580" t="str">
        <f t="shared" si="1"/>
        <v/>
      </c>
      <c r="X41" s="155"/>
      <c r="Y41" s="156"/>
      <c r="Z41" s="233" t="str">
        <f t="shared" si="2"/>
        <v/>
      </c>
      <c r="AA41" s="1447">
        <f>VLOOKUP($C41,'3B.Demographic'!$C$15:$N$414,6,FALSE)</f>
        <v>0</v>
      </c>
      <c r="AB41" s="1447">
        <f>VLOOKUP($C41,'3B.Demographic'!$C$15:$N$414,7,FALSE)</f>
        <v>0</v>
      </c>
      <c r="AC41" s="1447">
        <f>VLOOKUP($C41,'3B.Demographic'!$C$15:$N$414,8,FALSE)</f>
        <v>0</v>
      </c>
      <c r="AD41" s="1447">
        <f>VLOOKUP($C41,'3B.Demographic'!$C$15:$N$414,9,FALSE)</f>
        <v>0</v>
      </c>
      <c r="AE41" s="1447">
        <f>VLOOKUP($C41,'3B.Demographic'!$C$15:$N$414,10,FALSE)</f>
        <v>0</v>
      </c>
      <c r="AF41" s="1475">
        <f>VLOOKUP($C41,'3B.Demographic'!$C$15:$N$414,11,FALSE)</f>
        <v>0</v>
      </c>
      <c r="AG41" s="1229">
        <f>VLOOKUP($C41,'3B.Demographic'!$C$15:$N$414,12,FALSE)</f>
        <v>0</v>
      </c>
    </row>
    <row r="42" spans="1:33" ht="20.100000000000001" customHeight="1">
      <c r="A42" s="217" t="str">
        <f>IF(D42&lt;&gt;"", ' 1A.Prop&amp;Residents'!$B$7, "")</f>
        <v/>
      </c>
      <c r="B42" s="217" t="str">
        <f t="shared" si="0"/>
        <v/>
      </c>
      <c r="C42" s="34">
        <v>28</v>
      </c>
      <c r="D42" s="153"/>
      <c r="E42" s="154"/>
      <c r="F42" s="1775"/>
      <c r="G42" s="155"/>
      <c r="H42" s="156"/>
      <c r="I42" s="154"/>
      <c r="J42" s="157"/>
      <c r="K42" s="156"/>
      <c r="L42" s="154"/>
      <c r="M42" s="609" t="str">
        <f>IF(L42="","",IF(E42="","",IF('1B.TransitionalProg'!$H$8&gt;0,"",VLOOKUP($E42,' 1A.Prop&amp;Residents'!$P$41:$R$47,2,FALSE))))</f>
        <v/>
      </c>
      <c r="N42" s="609" t="str">
        <f>IF(L42="","",IF(E42="","",IF('1B.TransitionalProg'!$H$8&gt;0,"",VLOOKUP($E42,' 1A.Prop&amp;Residents'!$P$41:$R$47,3,FALSE))))</f>
        <v/>
      </c>
      <c r="O42" s="610" t="str">
        <f>IF(L42="", "", IF(E42="", "", IF('1B.TransitionalProg'!$H$8&gt;0,"",IF(L42&lt;M42,"overHOUSED?",IF(L42&gt;N42, "OVERcrowded?","")))))</f>
        <v/>
      </c>
      <c r="P42" s="623"/>
      <c r="Q42" s="154"/>
      <c r="R42" s="154"/>
      <c r="S42" s="156"/>
      <c r="T42" s="156"/>
      <c r="U42" s="156"/>
      <c r="V42" s="156"/>
      <c r="W42" s="1580" t="str">
        <f t="shared" si="1"/>
        <v/>
      </c>
      <c r="X42" s="155"/>
      <c r="Y42" s="156"/>
      <c r="Z42" s="233" t="str">
        <f t="shared" si="2"/>
        <v/>
      </c>
      <c r="AA42" s="1447">
        <f>VLOOKUP($C42,'3B.Demographic'!$C$15:$N$414,6,FALSE)</f>
        <v>0</v>
      </c>
      <c r="AB42" s="1447">
        <f>VLOOKUP($C42,'3B.Demographic'!$C$15:$N$414,7,FALSE)</f>
        <v>0</v>
      </c>
      <c r="AC42" s="1447">
        <f>VLOOKUP($C42,'3B.Demographic'!$C$15:$N$414,8,FALSE)</f>
        <v>0</v>
      </c>
      <c r="AD42" s="1447">
        <f>VLOOKUP($C42,'3B.Demographic'!$C$15:$N$414,9,FALSE)</f>
        <v>0</v>
      </c>
      <c r="AE42" s="1447">
        <f>VLOOKUP($C42,'3B.Demographic'!$C$15:$N$414,10,FALSE)</f>
        <v>0</v>
      </c>
      <c r="AF42" s="1475">
        <f>VLOOKUP($C42,'3B.Demographic'!$C$15:$N$414,11,FALSE)</f>
        <v>0</v>
      </c>
      <c r="AG42" s="1229">
        <f>VLOOKUP($C42,'3B.Demographic'!$C$15:$N$414,12,FALSE)</f>
        <v>0</v>
      </c>
    </row>
    <row r="43" spans="1:33" ht="20.100000000000001" customHeight="1">
      <c r="A43" s="217" t="str">
        <f>IF(D43&lt;&gt;"", ' 1A.Prop&amp;Residents'!$B$7, "")</f>
        <v/>
      </c>
      <c r="B43" s="217" t="str">
        <f t="shared" si="0"/>
        <v/>
      </c>
      <c r="C43" s="34">
        <v>29</v>
      </c>
      <c r="D43" s="153"/>
      <c r="E43" s="154"/>
      <c r="F43" s="1775"/>
      <c r="G43" s="155"/>
      <c r="H43" s="156"/>
      <c r="I43" s="154"/>
      <c r="J43" s="157"/>
      <c r="K43" s="156"/>
      <c r="L43" s="154"/>
      <c r="M43" s="609" t="str">
        <f>IF(L43="","",IF(E43="","",IF('1B.TransitionalProg'!$H$8&gt;0,"",VLOOKUP($E43,' 1A.Prop&amp;Residents'!$P$41:$R$47,2,FALSE))))</f>
        <v/>
      </c>
      <c r="N43" s="609" t="str">
        <f>IF(L43="","",IF(E43="","",IF('1B.TransitionalProg'!$H$8&gt;0,"",VLOOKUP($E43,' 1A.Prop&amp;Residents'!$P$41:$R$47,3,FALSE))))</f>
        <v/>
      </c>
      <c r="O43" s="610" t="str">
        <f>IF(L43="", "", IF(E43="", "", IF('1B.TransitionalProg'!$H$8&gt;0,"",IF(L43&lt;M43,"overHOUSED?",IF(L43&gt;N43, "OVERcrowded?","")))))</f>
        <v/>
      </c>
      <c r="P43" s="623"/>
      <c r="Q43" s="154"/>
      <c r="R43" s="154"/>
      <c r="S43" s="156"/>
      <c r="T43" s="156"/>
      <c r="U43" s="156"/>
      <c r="V43" s="156"/>
      <c r="W43" s="1580" t="str">
        <f t="shared" si="1"/>
        <v/>
      </c>
      <c r="X43" s="155"/>
      <c r="Y43" s="156"/>
      <c r="Z43" s="233" t="str">
        <f t="shared" si="2"/>
        <v/>
      </c>
      <c r="AA43" s="1447">
        <f>VLOOKUP($C43,'3B.Demographic'!$C$15:$N$414,6,FALSE)</f>
        <v>0</v>
      </c>
      <c r="AB43" s="1447">
        <f>VLOOKUP($C43,'3B.Demographic'!$C$15:$N$414,7,FALSE)</f>
        <v>0</v>
      </c>
      <c r="AC43" s="1447">
        <f>VLOOKUP($C43,'3B.Demographic'!$C$15:$N$414,8,FALSE)</f>
        <v>0</v>
      </c>
      <c r="AD43" s="1447">
        <f>VLOOKUP($C43,'3B.Demographic'!$C$15:$N$414,9,FALSE)</f>
        <v>0</v>
      </c>
      <c r="AE43" s="1447">
        <f>VLOOKUP($C43,'3B.Demographic'!$C$15:$N$414,10,FALSE)</f>
        <v>0</v>
      </c>
      <c r="AF43" s="1475">
        <f>VLOOKUP($C43,'3B.Demographic'!$C$15:$N$414,11,FALSE)</f>
        <v>0</v>
      </c>
      <c r="AG43" s="1229">
        <f>VLOOKUP($C43,'3B.Demographic'!$C$15:$N$414,12,FALSE)</f>
        <v>0</v>
      </c>
    </row>
    <row r="44" spans="1:33" ht="20.100000000000001" customHeight="1">
      <c r="A44" s="217" t="str">
        <f>IF(D44&lt;&gt;"", ' 1A.Prop&amp;Residents'!$B$7, "")</f>
        <v/>
      </c>
      <c r="B44" s="217" t="str">
        <f t="shared" si="0"/>
        <v/>
      </c>
      <c r="C44" s="34">
        <v>30</v>
      </c>
      <c r="D44" s="153"/>
      <c r="E44" s="154"/>
      <c r="F44" s="1775"/>
      <c r="G44" s="155"/>
      <c r="H44" s="156"/>
      <c r="I44" s="154"/>
      <c r="J44" s="157"/>
      <c r="K44" s="156"/>
      <c r="L44" s="154"/>
      <c r="M44" s="609" t="str">
        <f>IF(L44="","",IF(E44="","",IF('1B.TransitionalProg'!$H$8&gt;0,"",VLOOKUP($E44,' 1A.Prop&amp;Residents'!$P$41:$R$47,2,FALSE))))</f>
        <v/>
      </c>
      <c r="N44" s="609" t="str">
        <f>IF(L44="","",IF(E44="","",IF('1B.TransitionalProg'!$H$8&gt;0,"",VLOOKUP($E44,' 1A.Prop&amp;Residents'!$P$41:$R$47,3,FALSE))))</f>
        <v/>
      </c>
      <c r="O44" s="610" t="str">
        <f>IF(L44="", "", IF(E44="", "", IF('1B.TransitionalProg'!$H$8&gt;0,"",IF(L44&lt;M44,"overHOUSED?",IF(L44&gt;N44, "OVERcrowded?","")))))</f>
        <v/>
      </c>
      <c r="P44" s="623"/>
      <c r="Q44" s="154"/>
      <c r="R44" s="154"/>
      <c r="S44" s="156"/>
      <c r="T44" s="156"/>
      <c r="U44" s="156"/>
      <c r="V44" s="156"/>
      <c r="W44" s="1580" t="str">
        <f t="shared" si="1"/>
        <v/>
      </c>
      <c r="X44" s="155"/>
      <c r="Y44" s="156"/>
      <c r="Z44" s="233" t="str">
        <f t="shared" si="2"/>
        <v/>
      </c>
      <c r="AA44" s="1447">
        <f>VLOOKUP($C44,'3B.Demographic'!$C$15:$N$414,6,FALSE)</f>
        <v>0</v>
      </c>
      <c r="AB44" s="1447">
        <f>VLOOKUP($C44,'3B.Demographic'!$C$15:$N$414,7,FALSE)</f>
        <v>0</v>
      </c>
      <c r="AC44" s="1447">
        <f>VLOOKUP($C44,'3B.Demographic'!$C$15:$N$414,8,FALSE)</f>
        <v>0</v>
      </c>
      <c r="AD44" s="1447">
        <f>VLOOKUP($C44,'3B.Demographic'!$C$15:$N$414,9,FALSE)</f>
        <v>0</v>
      </c>
      <c r="AE44" s="1447">
        <f>VLOOKUP($C44,'3B.Demographic'!$C$15:$N$414,10,FALSE)</f>
        <v>0</v>
      </c>
      <c r="AF44" s="1475">
        <f>VLOOKUP($C44,'3B.Demographic'!$C$15:$N$414,11,FALSE)</f>
        <v>0</v>
      </c>
      <c r="AG44" s="1229">
        <f>VLOOKUP($C44,'3B.Demographic'!$C$15:$N$414,12,FALSE)</f>
        <v>0</v>
      </c>
    </row>
    <row r="45" spans="1:33" ht="20.100000000000001" customHeight="1">
      <c r="A45" s="217" t="str">
        <f>IF(D45&lt;&gt;"", ' 1A.Prop&amp;Residents'!$B$7, "")</f>
        <v/>
      </c>
      <c r="B45" s="217" t="str">
        <f t="shared" si="0"/>
        <v/>
      </c>
      <c r="C45" s="34">
        <v>31</v>
      </c>
      <c r="D45" s="153"/>
      <c r="E45" s="154"/>
      <c r="F45" s="1775"/>
      <c r="G45" s="155"/>
      <c r="H45" s="156"/>
      <c r="I45" s="154"/>
      <c r="J45" s="157"/>
      <c r="K45" s="156"/>
      <c r="L45" s="154"/>
      <c r="M45" s="609" t="str">
        <f>IF(L45="","",IF(E45="","",IF('1B.TransitionalProg'!$H$8&gt;0,"",VLOOKUP($E45,' 1A.Prop&amp;Residents'!$P$41:$R$47,2,FALSE))))</f>
        <v/>
      </c>
      <c r="N45" s="609" t="str">
        <f>IF(L45="","",IF(E45="","",IF('1B.TransitionalProg'!$H$8&gt;0,"",VLOOKUP($E45,' 1A.Prop&amp;Residents'!$P$41:$R$47,3,FALSE))))</f>
        <v/>
      </c>
      <c r="O45" s="610" t="str">
        <f>IF(L45="", "", IF(E45="", "", IF('1B.TransitionalProg'!$H$8&gt;0,"",IF(L45&lt;M45,"overHOUSED?",IF(L45&gt;N45, "OVERcrowded?","")))))</f>
        <v/>
      </c>
      <c r="P45" s="623"/>
      <c r="Q45" s="154"/>
      <c r="R45" s="154"/>
      <c r="S45" s="156"/>
      <c r="T45" s="156"/>
      <c r="U45" s="156"/>
      <c r="V45" s="156"/>
      <c r="W45" s="1580" t="str">
        <f t="shared" si="1"/>
        <v/>
      </c>
      <c r="X45" s="155"/>
      <c r="Y45" s="156"/>
      <c r="Z45" s="233" t="str">
        <f t="shared" si="2"/>
        <v/>
      </c>
      <c r="AA45" s="1447">
        <f>VLOOKUP($C45,'3B.Demographic'!$C$15:$N$414,6,FALSE)</f>
        <v>0</v>
      </c>
      <c r="AB45" s="1447">
        <f>VLOOKUP($C45,'3B.Demographic'!$C$15:$N$414,7,FALSE)</f>
        <v>0</v>
      </c>
      <c r="AC45" s="1447">
        <f>VLOOKUP($C45,'3B.Demographic'!$C$15:$N$414,8,FALSE)</f>
        <v>0</v>
      </c>
      <c r="AD45" s="1447">
        <f>VLOOKUP($C45,'3B.Demographic'!$C$15:$N$414,9,FALSE)</f>
        <v>0</v>
      </c>
      <c r="AE45" s="1447">
        <f>VLOOKUP($C45,'3B.Demographic'!$C$15:$N$414,10,FALSE)</f>
        <v>0</v>
      </c>
      <c r="AF45" s="1475">
        <f>VLOOKUP($C45,'3B.Demographic'!$C$15:$N$414,11,FALSE)</f>
        <v>0</v>
      </c>
      <c r="AG45" s="1229">
        <f>VLOOKUP($C45,'3B.Demographic'!$C$15:$N$414,12,FALSE)</f>
        <v>0</v>
      </c>
    </row>
    <row r="46" spans="1:33" ht="20.100000000000001" customHeight="1">
      <c r="A46" s="217" t="str">
        <f>IF(D46&lt;&gt;"", ' 1A.Prop&amp;Residents'!$B$7, "")</f>
        <v/>
      </c>
      <c r="B46" s="217" t="str">
        <f t="shared" si="0"/>
        <v/>
      </c>
      <c r="C46" s="34">
        <v>32</v>
      </c>
      <c r="D46" s="153"/>
      <c r="E46" s="154"/>
      <c r="F46" s="1775"/>
      <c r="G46" s="155"/>
      <c r="H46" s="156"/>
      <c r="I46" s="154"/>
      <c r="J46" s="157"/>
      <c r="K46" s="156"/>
      <c r="L46" s="154"/>
      <c r="M46" s="609" t="str">
        <f>IF(L46="","",IF(E46="","",IF('1B.TransitionalProg'!$H$8&gt;0,"",VLOOKUP($E46,' 1A.Prop&amp;Residents'!$P$41:$R$47,2,FALSE))))</f>
        <v/>
      </c>
      <c r="N46" s="609" t="str">
        <f>IF(L46="","",IF(E46="","",IF('1B.TransitionalProg'!$H$8&gt;0,"",VLOOKUP($E46,' 1A.Prop&amp;Residents'!$P$41:$R$47,3,FALSE))))</f>
        <v/>
      </c>
      <c r="O46" s="610" t="str">
        <f>IF(L46="", "", IF(E46="", "", IF('1B.TransitionalProg'!$H$8&gt;0,"",IF(L46&lt;M46,"overHOUSED?",IF(L46&gt;N46, "OVERcrowded?","")))))</f>
        <v/>
      </c>
      <c r="P46" s="623"/>
      <c r="Q46" s="154"/>
      <c r="R46" s="154"/>
      <c r="S46" s="156"/>
      <c r="T46" s="156"/>
      <c r="U46" s="156"/>
      <c r="V46" s="156"/>
      <c r="W46" s="1580" t="str">
        <f t="shared" si="1"/>
        <v/>
      </c>
      <c r="X46" s="155"/>
      <c r="Y46" s="156"/>
      <c r="Z46" s="233" t="str">
        <f t="shared" si="2"/>
        <v/>
      </c>
      <c r="AA46" s="1447">
        <f>VLOOKUP($C46,'3B.Demographic'!$C$15:$N$414,6,FALSE)</f>
        <v>0</v>
      </c>
      <c r="AB46" s="1447">
        <f>VLOOKUP($C46,'3B.Demographic'!$C$15:$N$414,7,FALSE)</f>
        <v>0</v>
      </c>
      <c r="AC46" s="1447">
        <f>VLOOKUP($C46,'3B.Demographic'!$C$15:$N$414,8,FALSE)</f>
        <v>0</v>
      </c>
      <c r="AD46" s="1447">
        <f>VLOOKUP($C46,'3B.Demographic'!$C$15:$N$414,9,FALSE)</f>
        <v>0</v>
      </c>
      <c r="AE46" s="1447">
        <f>VLOOKUP($C46,'3B.Demographic'!$C$15:$N$414,10,FALSE)</f>
        <v>0</v>
      </c>
      <c r="AF46" s="1475">
        <f>VLOOKUP($C46,'3B.Demographic'!$C$15:$N$414,11,FALSE)</f>
        <v>0</v>
      </c>
      <c r="AG46" s="1229">
        <f>VLOOKUP($C46,'3B.Demographic'!$C$15:$N$414,12,FALSE)</f>
        <v>0</v>
      </c>
    </row>
    <row r="47" spans="1:33" ht="20.100000000000001" customHeight="1">
      <c r="A47" s="217" t="str">
        <f>IF(D47&lt;&gt;"", ' 1A.Prop&amp;Residents'!$B$7, "")</f>
        <v/>
      </c>
      <c r="B47" s="217" t="str">
        <f t="shared" si="0"/>
        <v/>
      </c>
      <c r="C47" s="34">
        <v>33</v>
      </c>
      <c r="D47" s="153"/>
      <c r="E47" s="154"/>
      <c r="F47" s="1775"/>
      <c r="G47" s="155"/>
      <c r="H47" s="156"/>
      <c r="I47" s="154"/>
      <c r="J47" s="157"/>
      <c r="K47" s="156"/>
      <c r="L47" s="154"/>
      <c r="M47" s="609" t="str">
        <f>IF(L47="","",IF(E47="","",IF('1B.TransitionalProg'!$H$8&gt;0,"",VLOOKUP($E47,' 1A.Prop&amp;Residents'!$P$41:$R$47,2,FALSE))))</f>
        <v/>
      </c>
      <c r="N47" s="609" t="str">
        <f>IF(L47="","",IF(E47="","",IF('1B.TransitionalProg'!$H$8&gt;0,"",VLOOKUP($E47,' 1A.Prop&amp;Residents'!$P$41:$R$47,3,FALSE))))</f>
        <v/>
      </c>
      <c r="O47" s="610" t="str">
        <f>IF(L47="", "", IF(E47="", "", IF('1B.TransitionalProg'!$H$8&gt;0,"",IF(L47&lt;M47,"overHOUSED?",IF(L47&gt;N47, "OVERcrowded?","")))))</f>
        <v/>
      </c>
      <c r="P47" s="623"/>
      <c r="Q47" s="154"/>
      <c r="R47" s="154"/>
      <c r="S47" s="156"/>
      <c r="T47" s="156"/>
      <c r="U47" s="156"/>
      <c r="V47" s="156"/>
      <c r="W47" s="1580" t="str">
        <f t="shared" si="1"/>
        <v/>
      </c>
      <c r="X47" s="155"/>
      <c r="Y47" s="156"/>
      <c r="Z47" s="233" t="str">
        <f t="shared" si="2"/>
        <v/>
      </c>
      <c r="AA47" s="1447">
        <f>VLOOKUP($C47,'3B.Demographic'!$C$15:$N$414,6,FALSE)</f>
        <v>0</v>
      </c>
      <c r="AB47" s="1447">
        <f>VLOOKUP($C47,'3B.Demographic'!$C$15:$N$414,7,FALSE)</f>
        <v>0</v>
      </c>
      <c r="AC47" s="1447">
        <f>VLOOKUP($C47,'3B.Demographic'!$C$15:$N$414,8,FALSE)</f>
        <v>0</v>
      </c>
      <c r="AD47" s="1447">
        <f>VLOOKUP($C47,'3B.Demographic'!$C$15:$N$414,9,FALSE)</f>
        <v>0</v>
      </c>
      <c r="AE47" s="1447">
        <f>VLOOKUP($C47,'3B.Demographic'!$C$15:$N$414,10,FALSE)</f>
        <v>0</v>
      </c>
      <c r="AF47" s="1475">
        <f>VLOOKUP($C47,'3B.Demographic'!$C$15:$N$414,11,FALSE)</f>
        <v>0</v>
      </c>
      <c r="AG47" s="1229">
        <f>VLOOKUP($C47,'3B.Demographic'!$C$15:$N$414,12,FALSE)</f>
        <v>0</v>
      </c>
    </row>
    <row r="48" spans="1:33" ht="20.100000000000001" customHeight="1">
      <c r="A48" s="217" t="str">
        <f>IF(D48&lt;&gt;"", ' 1A.Prop&amp;Residents'!$B$7, "")</f>
        <v/>
      </c>
      <c r="B48" s="217" t="str">
        <f t="shared" si="0"/>
        <v/>
      </c>
      <c r="C48" s="34">
        <v>34</v>
      </c>
      <c r="D48" s="153"/>
      <c r="E48" s="154"/>
      <c r="F48" s="1775"/>
      <c r="G48" s="155"/>
      <c r="H48" s="156"/>
      <c r="I48" s="154"/>
      <c r="J48" s="157"/>
      <c r="K48" s="156"/>
      <c r="L48" s="154"/>
      <c r="M48" s="609" t="str">
        <f>IF(L48="","",IF(E48="","",IF('1B.TransitionalProg'!$H$8&gt;0,"",VLOOKUP($E48,' 1A.Prop&amp;Residents'!$P$41:$R$47,2,FALSE))))</f>
        <v/>
      </c>
      <c r="N48" s="609" t="str">
        <f>IF(L48="","",IF(E48="","",IF('1B.TransitionalProg'!$H$8&gt;0,"",VLOOKUP($E48,' 1A.Prop&amp;Residents'!$P$41:$R$47,3,FALSE))))</f>
        <v/>
      </c>
      <c r="O48" s="610" t="str">
        <f>IF(L48="", "", IF(E48="", "", IF('1B.TransitionalProg'!$H$8&gt;0,"",IF(L48&lt;M48,"overHOUSED?",IF(L48&gt;N48, "OVERcrowded?","")))))</f>
        <v/>
      </c>
      <c r="P48" s="623"/>
      <c r="Q48" s="154"/>
      <c r="R48" s="154"/>
      <c r="S48" s="156"/>
      <c r="T48" s="156"/>
      <c r="U48" s="156"/>
      <c r="V48" s="156"/>
      <c r="W48" s="1580" t="str">
        <f t="shared" si="1"/>
        <v/>
      </c>
      <c r="X48" s="155"/>
      <c r="Y48" s="156"/>
      <c r="Z48" s="233" t="str">
        <f t="shared" si="2"/>
        <v/>
      </c>
      <c r="AA48" s="1447">
        <f>VLOOKUP($C48,'3B.Demographic'!$C$15:$N$414,6,FALSE)</f>
        <v>0</v>
      </c>
      <c r="AB48" s="1447">
        <f>VLOOKUP($C48,'3B.Demographic'!$C$15:$N$414,7,FALSE)</f>
        <v>0</v>
      </c>
      <c r="AC48" s="1447">
        <f>VLOOKUP($C48,'3B.Demographic'!$C$15:$N$414,8,FALSE)</f>
        <v>0</v>
      </c>
      <c r="AD48" s="1447">
        <f>VLOOKUP($C48,'3B.Demographic'!$C$15:$N$414,9,FALSE)</f>
        <v>0</v>
      </c>
      <c r="AE48" s="1447">
        <f>VLOOKUP($C48,'3B.Demographic'!$C$15:$N$414,10,FALSE)</f>
        <v>0</v>
      </c>
      <c r="AF48" s="1475">
        <f>VLOOKUP($C48,'3B.Demographic'!$C$15:$N$414,11,FALSE)</f>
        <v>0</v>
      </c>
      <c r="AG48" s="1229">
        <f>VLOOKUP($C48,'3B.Demographic'!$C$15:$N$414,12,FALSE)</f>
        <v>0</v>
      </c>
    </row>
    <row r="49" spans="1:33" ht="20.100000000000001" customHeight="1">
      <c r="A49" s="217" t="str">
        <f>IF(D49&lt;&gt;"", ' 1A.Prop&amp;Residents'!$B$7, "")</f>
        <v/>
      </c>
      <c r="B49" s="217" t="str">
        <f t="shared" si="0"/>
        <v/>
      </c>
      <c r="C49" s="34">
        <v>35</v>
      </c>
      <c r="D49" s="153"/>
      <c r="E49" s="154"/>
      <c r="F49" s="1775"/>
      <c r="G49" s="155"/>
      <c r="H49" s="156"/>
      <c r="I49" s="154"/>
      <c r="J49" s="157"/>
      <c r="K49" s="156"/>
      <c r="L49" s="154"/>
      <c r="M49" s="609" t="str">
        <f>IF(L49="","",IF(E49="","",IF('1B.TransitionalProg'!$H$8&gt;0,"",VLOOKUP($E49,' 1A.Prop&amp;Residents'!$P$41:$R$47,2,FALSE))))</f>
        <v/>
      </c>
      <c r="N49" s="609" t="str">
        <f>IF(L49="","",IF(E49="","",IF('1B.TransitionalProg'!$H$8&gt;0,"",VLOOKUP($E49,' 1A.Prop&amp;Residents'!$P$41:$R$47,3,FALSE))))</f>
        <v/>
      </c>
      <c r="O49" s="610" t="str">
        <f>IF(L49="", "", IF(E49="", "", IF('1B.TransitionalProg'!$H$8&gt;0,"",IF(L49&lt;M49,"overHOUSED?",IF(L49&gt;N49, "OVERcrowded?","")))))</f>
        <v/>
      </c>
      <c r="P49" s="623"/>
      <c r="Q49" s="154"/>
      <c r="R49" s="154"/>
      <c r="S49" s="156"/>
      <c r="T49" s="156"/>
      <c r="U49" s="156"/>
      <c r="V49" s="156"/>
      <c r="W49" s="1580" t="str">
        <f t="shared" si="1"/>
        <v/>
      </c>
      <c r="X49" s="155"/>
      <c r="Y49" s="156"/>
      <c r="Z49" s="233" t="str">
        <f t="shared" si="2"/>
        <v/>
      </c>
      <c r="AA49" s="1447">
        <f>VLOOKUP($C49,'3B.Demographic'!$C$15:$N$414,6,FALSE)</f>
        <v>0</v>
      </c>
      <c r="AB49" s="1447">
        <f>VLOOKUP($C49,'3B.Demographic'!$C$15:$N$414,7,FALSE)</f>
        <v>0</v>
      </c>
      <c r="AC49" s="1447">
        <f>VLOOKUP($C49,'3B.Demographic'!$C$15:$N$414,8,FALSE)</f>
        <v>0</v>
      </c>
      <c r="AD49" s="1447">
        <f>VLOOKUP($C49,'3B.Demographic'!$C$15:$N$414,9,FALSE)</f>
        <v>0</v>
      </c>
      <c r="AE49" s="1447">
        <f>VLOOKUP($C49,'3B.Demographic'!$C$15:$N$414,10,FALSE)</f>
        <v>0</v>
      </c>
      <c r="AF49" s="1475">
        <f>VLOOKUP($C49,'3B.Demographic'!$C$15:$N$414,11,FALSE)</f>
        <v>0</v>
      </c>
      <c r="AG49" s="1229">
        <f>VLOOKUP($C49,'3B.Demographic'!$C$15:$N$414,12,FALSE)</f>
        <v>0</v>
      </c>
    </row>
    <row r="50" spans="1:33" ht="20.100000000000001" customHeight="1">
      <c r="A50" s="217" t="str">
        <f>IF(D50&lt;&gt;"", ' 1A.Prop&amp;Residents'!$B$7, "")</f>
        <v/>
      </c>
      <c r="B50" s="217" t="str">
        <f t="shared" si="0"/>
        <v/>
      </c>
      <c r="C50" s="34">
        <v>36</v>
      </c>
      <c r="D50" s="153"/>
      <c r="E50" s="154"/>
      <c r="F50" s="1775"/>
      <c r="G50" s="155"/>
      <c r="H50" s="156"/>
      <c r="I50" s="154"/>
      <c r="J50" s="157"/>
      <c r="K50" s="156"/>
      <c r="L50" s="154"/>
      <c r="M50" s="609" t="str">
        <f>IF(L50="","",IF(E50="","",IF('1B.TransitionalProg'!$H$8&gt;0,"",VLOOKUP($E50,' 1A.Prop&amp;Residents'!$P$41:$R$47,2,FALSE))))</f>
        <v/>
      </c>
      <c r="N50" s="609" t="str">
        <f>IF(L50="","",IF(E50="","",IF('1B.TransitionalProg'!$H$8&gt;0,"",VLOOKUP($E50,' 1A.Prop&amp;Residents'!$P$41:$R$47,3,FALSE))))</f>
        <v/>
      </c>
      <c r="O50" s="610" t="str">
        <f>IF(L50="", "", IF(E50="", "", IF('1B.TransitionalProg'!$H$8&gt;0,"",IF(L50&lt;M50,"overHOUSED?",IF(L50&gt;N50, "OVERcrowded?","")))))</f>
        <v/>
      </c>
      <c r="P50" s="623"/>
      <c r="Q50" s="154"/>
      <c r="R50" s="154"/>
      <c r="S50" s="156"/>
      <c r="T50" s="156"/>
      <c r="U50" s="156"/>
      <c r="V50" s="156"/>
      <c r="W50" s="1580" t="str">
        <f t="shared" si="1"/>
        <v/>
      </c>
      <c r="X50" s="155"/>
      <c r="Y50" s="156"/>
      <c r="Z50" s="233" t="str">
        <f t="shared" si="2"/>
        <v/>
      </c>
      <c r="AA50" s="1447">
        <f>VLOOKUP($C50,'3B.Demographic'!$C$15:$N$414,6,FALSE)</f>
        <v>0</v>
      </c>
      <c r="AB50" s="1447">
        <f>VLOOKUP($C50,'3B.Demographic'!$C$15:$N$414,7,FALSE)</f>
        <v>0</v>
      </c>
      <c r="AC50" s="1447">
        <f>VLOOKUP($C50,'3B.Demographic'!$C$15:$N$414,8,FALSE)</f>
        <v>0</v>
      </c>
      <c r="AD50" s="1447">
        <f>VLOOKUP($C50,'3B.Demographic'!$C$15:$N$414,9,FALSE)</f>
        <v>0</v>
      </c>
      <c r="AE50" s="1447">
        <f>VLOOKUP($C50,'3B.Demographic'!$C$15:$N$414,10,FALSE)</f>
        <v>0</v>
      </c>
      <c r="AF50" s="1475">
        <f>VLOOKUP($C50,'3B.Demographic'!$C$15:$N$414,11,FALSE)</f>
        <v>0</v>
      </c>
      <c r="AG50" s="1229">
        <f>VLOOKUP($C50,'3B.Demographic'!$C$15:$N$414,12,FALSE)</f>
        <v>0</v>
      </c>
    </row>
    <row r="51" spans="1:33" ht="20.100000000000001" customHeight="1">
      <c r="A51" s="217" t="str">
        <f>IF(D51&lt;&gt;"", ' 1A.Prop&amp;Residents'!$B$7, "")</f>
        <v/>
      </c>
      <c r="B51" s="217" t="str">
        <f t="shared" si="0"/>
        <v/>
      </c>
      <c r="C51" s="34">
        <v>37</v>
      </c>
      <c r="D51" s="153"/>
      <c r="E51" s="154"/>
      <c r="F51" s="1775"/>
      <c r="G51" s="155"/>
      <c r="H51" s="156"/>
      <c r="I51" s="154"/>
      <c r="J51" s="157"/>
      <c r="K51" s="156"/>
      <c r="L51" s="154"/>
      <c r="M51" s="609" t="str">
        <f>IF(L51="","",IF(E51="","",IF('1B.TransitionalProg'!$H$8&gt;0,"",VLOOKUP($E51,' 1A.Prop&amp;Residents'!$P$41:$R$47,2,FALSE))))</f>
        <v/>
      </c>
      <c r="N51" s="609" t="str">
        <f>IF(L51="","",IF(E51="","",IF('1B.TransitionalProg'!$H$8&gt;0,"",VLOOKUP($E51,' 1A.Prop&amp;Residents'!$P$41:$R$47,3,FALSE))))</f>
        <v/>
      </c>
      <c r="O51" s="610" t="str">
        <f>IF(L51="", "", IF(E51="", "", IF('1B.TransitionalProg'!$H$8&gt;0,"",IF(L51&lt;M51,"overHOUSED?",IF(L51&gt;N51, "OVERcrowded?","")))))</f>
        <v/>
      </c>
      <c r="P51" s="623"/>
      <c r="Q51" s="154"/>
      <c r="R51" s="154"/>
      <c r="S51" s="156"/>
      <c r="T51" s="156"/>
      <c r="U51" s="156"/>
      <c r="V51" s="156"/>
      <c r="W51" s="1580" t="str">
        <f t="shared" si="1"/>
        <v/>
      </c>
      <c r="X51" s="155"/>
      <c r="Y51" s="156"/>
      <c r="Z51" s="233" t="str">
        <f t="shared" si="2"/>
        <v/>
      </c>
      <c r="AA51" s="1447">
        <f>VLOOKUP($C51,'3B.Demographic'!$C$15:$N$414,6,FALSE)</f>
        <v>0</v>
      </c>
      <c r="AB51" s="1447">
        <f>VLOOKUP($C51,'3B.Demographic'!$C$15:$N$414,7,FALSE)</f>
        <v>0</v>
      </c>
      <c r="AC51" s="1447">
        <f>VLOOKUP($C51,'3B.Demographic'!$C$15:$N$414,8,FALSE)</f>
        <v>0</v>
      </c>
      <c r="AD51" s="1447">
        <f>VLOOKUP($C51,'3B.Demographic'!$C$15:$N$414,9,FALSE)</f>
        <v>0</v>
      </c>
      <c r="AE51" s="1447">
        <f>VLOOKUP($C51,'3B.Demographic'!$C$15:$N$414,10,FALSE)</f>
        <v>0</v>
      </c>
      <c r="AF51" s="1475">
        <f>VLOOKUP($C51,'3B.Demographic'!$C$15:$N$414,11,FALSE)</f>
        <v>0</v>
      </c>
      <c r="AG51" s="1229">
        <f>VLOOKUP($C51,'3B.Demographic'!$C$15:$N$414,12,FALSE)</f>
        <v>0</v>
      </c>
    </row>
    <row r="52" spans="1:33" ht="20.100000000000001" customHeight="1">
      <c r="A52" s="217" t="str">
        <f>IF(D52&lt;&gt;"", ' 1A.Prop&amp;Residents'!$B$7, "")</f>
        <v/>
      </c>
      <c r="B52" s="217" t="str">
        <f t="shared" si="0"/>
        <v/>
      </c>
      <c r="C52" s="34">
        <v>38</v>
      </c>
      <c r="D52" s="153"/>
      <c r="E52" s="154"/>
      <c r="F52" s="1775"/>
      <c r="G52" s="155"/>
      <c r="H52" s="156"/>
      <c r="I52" s="154"/>
      <c r="J52" s="157"/>
      <c r="K52" s="156"/>
      <c r="L52" s="154"/>
      <c r="M52" s="609" t="str">
        <f>IF(L52="","",IF(E52="","",IF('1B.TransitionalProg'!$H$8&gt;0,"",VLOOKUP($E52,' 1A.Prop&amp;Residents'!$P$41:$R$47,2,FALSE))))</f>
        <v/>
      </c>
      <c r="N52" s="609" t="str">
        <f>IF(L52="","",IF(E52="","",IF('1B.TransitionalProg'!$H$8&gt;0,"",VLOOKUP($E52,' 1A.Prop&amp;Residents'!$P$41:$R$47,3,FALSE))))</f>
        <v/>
      </c>
      <c r="O52" s="610" t="str">
        <f>IF(L52="", "", IF(E52="", "", IF('1B.TransitionalProg'!$H$8&gt;0,"",IF(L52&lt;M52,"overHOUSED?",IF(L52&gt;N52, "OVERcrowded?","")))))</f>
        <v/>
      </c>
      <c r="P52" s="623"/>
      <c r="Q52" s="154"/>
      <c r="R52" s="154"/>
      <c r="S52" s="156"/>
      <c r="T52" s="156"/>
      <c r="U52" s="156"/>
      <c r="V52" s="156"/>
      <c r="W52" s="1580" t="str">
        <f t="shared" si="1"/>
        <v/>
      </c>
      <c r="X52" s="155"/>
      <c r="Y52" s="156"/>
      <c r="Z52" s="233" t="str">
        <f t="shared" si="2"/>
        <v/>
      </c>
      <c r="AA52" s="1447">
        <f>VLOOKUP($C52,'3B.Demographic'!$C$15:$N$414,6,FALSE)</f>
        <v>0</v>
      </c>
      <c r="AB52" s="1447">
        <f>VLOOKUP($C52,'3B.Demographic'!$C$15:$N$414,7,FALSE)</f>
        <v>0</v>
      </c>
      <c r="AC52" s="1447">
        <f>VLOOKUP($C52,'3B.Demographic'!$C$15:$N$414,8,FALSE)</f>
        <v>0</v>
      </c>
      <c r="AD52" s="1447">
        <f>VLOOKUP($C52,'3B.Demographic'!$C$15:$N$414,9,FALSE)</f>
        <v>0</v>
      </c>
      <c r="AE52" s="1447">
        <f>VLOOKUP($C52,'3B.Demographic'!$C$15:$N$414,10,FALSE)</f>
        <v>0</v>
      </c>
      <c r="AF52" s="1475">
        <f>VLOOKUP($C52,'3B.Demographic'!$C$15:$N$414,11,FALSE)</f>
        <v>0</v>
      </c>
      <c r="AG52" s="1229">
        <f>VLOOKUP($C52,'3B.Demographic'!$C$15:$N$414,12,FALSE)</f>
        <v>0</v>
      </c>
    </row>
    <row r="53" spans="1:33" ht="20.100000000000001" customHeight="1">
      <c r="A53" s="217" t="str">
        <f>IF(D53&lt;&gt;"", ' 1A.Prop&amp;Residents'!$B$7, "")</f>
        <v/>
      </c>
      <c r="B53" s="217" t="str">
        <f t="shared" si="0"/>
        <v/>
      </c>
      <c r="C53" s="34">
        <v>39</v>
      </c>
      <c r="D53" s="153"/>
      <c r="E53" s="154"/>
      <c r="F53" s="1775"/>
      <c r="G53" s="155"/>
      <c r="H53" s="156"/>
      <c r="I53" s="154"/>
      <c r="J53" s="157"/>
      <c r="K53" s="156"/>
      <c r="L53" s="154"/>
      <c r="M53" s="609" t="str">
        <f>IF(L53="","",IF(E53="","",IF('1B.TransitionalProg'!$H$8&gt;0,"",VLOOKUP($E53,' 1A.Prop&amp;Residents'!$P$41:$R$47,2,FALSE))))</f>
        <v/>
      </c>
      <c r="N53" s="609" t="str">
        <f>IF(L53="","",IF(E53="","",IF('1B.TransitionalProg'!$H$8&gt;0,"",VLOOKUP($E53,' 1A.Prop&amp;Residents'!$P$41:$R$47,3,FALSE))))</f>
        <v/>
      </c>
      <c r="O53" s="610" t="str">
        <f>IF(L53="", "", IF(E53="", "", IF('1B.TransitionalProg'!$H$8&gt;0,"",IF(L53&lt;M53,"overHOUSED?",IF(L53&gt;N53, "OVERcrowded?","")))))</f>
        <v/>
      </c>
      <c r="P53" s="623"/>
      <c r="Q53" s="154"/>
      <c r="R53" s="154"/>
      <c r="S53" s="156"/>
      <c r="T53" s="156"/>
      <c r="U53" s="156"/>
      <c r="V53" s="156"/>
      <c r="W53" s="1580" t="str">
        <f t="shared" si="1"/>
        <v/>
      </c>
      <c r="X53" s="155"/>
      <c r="Y53" s="156"/>
      <c r="Z53" s="233" t="str">
        <f t="shared" si="2"/>
        <v/>
      </c>
      <c r="AA53" s="1447">
        <f>VLOOKUP($C53,'3B.Demographic'!$C$15:$N$414,6,FALSE)</f>
        <v>0</v>
      </c>
      <c r="AB53" s="1447">
        <f>VLOOKUP($C53,'3B.Demographic'!$C$15:$N$414,7,FALSE)</f>
        <v>0</v>
      </c>
      <c r="AC53" s="1447">
        <f>VLOOKUP($C53,'3B.Demographic'!$C$15:$N$414,8,FALSE)</f>
        <v>0</v>
      </c>
      <c r="AD53" s="1447">
        <f>VLOOKUP($C53,'3B.Demographic'!$C$15:$N$414,9,FALSE)</f>
        <v>0</v>
      </c>
      <c r="AE53" s="1447">
        <f>VLOOKUP($C53,'3B.Demographic'!$C$15:$N$414,10,FALSE)</f>
        <v>0</v>
      </c>
      <c r="AF53" s="1475">
        <f>VLOOKUP($C53,'3B.Demographic'!$C$15:$N$414,11,FALSE)</f>
        <v>0</v>
      </c>
      <c r="AG53" s="1229">
        <f>VLOOKUP($C53,'3B.Demographic'!$C$15:$N$414,12,FALSE)</f>
        <v>0</v>
      </c>
    </row>
    <row r="54" spans="1:33" ht="20.100000000000001" customHeight="1">
      <c r="A54" s="217" t="str">
        <f>IF(D54&lt;&gt;"", ' 1A.Prop&amp;Residents'!$B$7, "")</f>
        <v/>
      </c>
      <c r="B54" s="217" t="str">
        <f t="shared" si="0"/>
        <v/>
      </c>
      <c r="C54" s="34">
        <v>40</v>
      </c>
      <c r="D54" s="153"/>
      <c r="E54" s="154"/>
      <c r="F54" s="1775"/>
      <c r="G54" s="155"/>
      <c r="H54" s="156"/>
      <c r="I54" s="154"/>
      <c r="J54" s="157"/>
      <c r="K54" s="156"/>
      <c r="L54" s="154"/>
      <c r="M54" s="609" t="str">
        <f>IF(L54="","",IF(E54="","",IF('1B.TransitionalProg'!$H$8&gt;0,"",VLOOKUP($E54,' 1A.Prop&amp;Residents'!$P$41:$R$47,2,FALSE))))</f>
        <v/>
      </c>
      <c r="N54" s="609" t="str">
        <f>IF(L54="","",IF(E54="","",IF('1B.TransitionalProg'!$H$8&gt;0,"",VLOOKUP($E54,' 1A.Prop&amp;Residents'!$P$41:$R$47,3,FALSE))))</f>
        <v/>
      </c>
      <c r="O54" s="610" t="str">
        <f>IF(L54="", "", IF(E54="", "", IF('1B.TransitionalProg'!$H$8&gt;0,"",IF(L54&lt;M54,"overHOUSED?",IF(L54&gt;N54, "OVERcrowded?","")))))</f>
        <v/>
      </c>
      <c r="P54" s="623"/>
      <c r="Q54" s="154"/>
      <c r="R54" s="154"/>
      <c r="S54" s="156"/>
      <c r="T54" s="156"/>
      <c r="U54" s="156"/>
      <c r="V54" s="156"/>
      <c r="W54" s="1580" t="str">
        <f t="shared" si="1"/>
        <v/>
      </c>
      <c r="X54" s="155"/>
      <c r="Y54" s="156"/>
      <c r="Z54" s="233" t="str">
        <f t="shared" si="2"/>
        <v/>
      </c>
      <c r="AA54" s="1447">
        <f>VLOOKUP($C54,'3B.Demographic'!$C$15:$N$414,6,FALSE)</f>
        <v>0</v>
      </c>
      <c r="AB54" s="1447">
        <f>VLOOKUP($C54,'3B.Demographic'!$C$15:$N$414,7,FALSE)</f>
        <v>0</v>
      </c>
      <c r="AC54" s="1447">
        <f>VLOOKUP($C54,'3B.Demographic'!$C$15:$N$414,8,FALSE)</f>
        <v>0</v>
      </c>
      <c r="AD54" s="1447">
        <f>VLOOKUP($C54,'3B.Demographic'!$C$15:$N$414,9,FALSE)</f>
        <v>0</v>
      </c>
      <c r="AE54" s="1447">
        <f>VLOOKUP($C54,'3B.Demographic'!$C$15:$N$414,10,FALSE)</f>
        <v>0</v>
      </c>
      <c r="AF54" s="1475">
        <f>VLOOKUP($C54,'3B.Demographic'!$C$15:$N$414,11,FALSE)</f>
        <v>0</v>
      </c>
      <c r="AG54" s="1229">
        <f>VLOOKUP($C54,'3B.Demographic'!$C$15:$N$414,12,FALSE)</f>
        <v>0</v>
      </c>
    </row>
    <row r="55" spans="1:33" ht="20.100000000000001" customHeight="1">
      <c r="A55" s="217" t="str">
        <f>IF(D55&lt;&gt;"", ' 1A.Prop&amp;Residents'!$B$7, "")</f>
        <v/>
      </c>
      <c r="B55" s="217" t="str">
        <f t="shared" si="0"/>
        <v/>
      </c>
      <c r="C55" s="34">
        <v>41</v>
      </c>
      <c r="D55" s="153"/>
      <c r="E55" s="154"/>
      <c r="F55" s="1775"/>
      <c r="G55" s="155"/>
      <c r="H55" s="156"/>
      <c r="I55" s="154"/>
      <c r="J55" s="157"/>
      <c r="K55" s="156"/>
      <c r="L55" s="154"/>
      <c r="M55" s="609" t="str">
        <f>IF(L55="","",IF(E55="","",IF('1B.TransitionalProg'!$H$8&gt;0,"",VLOOKUP($E55,' 1A.Prop&amp;Residents'!$P$41:$R$47,2,FALSE))))</f>
        <v/>
      </c>
      <c r="N55" s="609" t="str">
        <f>IF(L55="","",IF(E55="","",IF('1B.TransitionalProg'!$H$8&gt;0,"",VLOOKUP($E55,' 1A.Prop&amp;Residents'!$P$41:$R$47,3,FALSE))))</f>
        <v/>
      </c>
      <c r="O55" s="610" t="str">
        <f>IF(L55="", "", IF(E55="", "", IF('1B.TransitionalProg'!$H$8&gt;0,"",IF(L55&lt;M55,"overHOUSED?",IF(L55&gt;N55, "OVERcrowded?","")))))</f>
        <v/>
      </c>
      <c r="P55" s="623"/>
      <c r="Q55" s="154"/>
      <c r="R55" s="154"/>
      <c r="S55" s="156"/>
      <c r="T55" s="156"/>
      <c r="U55" s="156"/>
      <c r="V55" s="156"/>
      <c r="W55" s="1580" t="str">
        <f t="shared" si="1"/>
        <v/>
      </c>
      <c r="X55" s="155"/>
      <c r="Y55" s="156"/>
      <c r="Z55" s="233" t="str">
        <f t="shared" si="2"/>
        <v/>
      </c>
      <c r="AA55" s="1447">
        <f>VLOOKUP($C55,'3B.Demographic'!$C$15:$N$414,6,FALSE)</f>
        <v>0</v>
      </c>
      <c r="AB55" s="1447">
        <f>VLOOKUP($C55,'3B.Demographic'!$C$15:$N$414,7,FALSE)</f>
        <v>0</v>
      </c>
      <c r="AC55" s="1447">
        <f>VLOOKUP($C55,'3B.Demographic'!$C$15:$N$414,8,FALSE)</f>
        <v>0</v>
      </c>
      <c r="AD55" s="1447">
        <f>VLOOKUP($C55,'3B.Demographic'!$C$15:$N$414,9,FALSE)</f>
        <v>0</v>
      </c>
      <c r="AE55" s="1447">
        <f>VLOOKUP($C55,'3B.Demographic'!$C$15:$N$414,10,FALSE)</f>
        <v>0</v>
      </c>
      <c r="AF55" s="1475">
        <f>VLOOKUP($C55,'3B.Demographic'!$C$15:$N$414,11,FALSE)</f>
        <v>0</v>
      </c>
      <c r="AG55" s="1229">
        <f>VLOOKUP($C55,'3B.Demographic'!$C$15:$N$414,12,FALSE)</f>
        <v>0</v>
      </c>
    </row>
    <row r="56" spans="1:33" ht="20.100000000000001" customHeight="1">
      <c r="A56" s="217" t="str">
        <f>IF(D56&lt;&gt;"", ' 1A.Prop&amp;Residents'!$B$7, "")</f>
        <v/>
      </c>
      <c r="B56" s="217" t="str">
        <f t="shared" si="0"/>
        <v/>
      </c>
      <c r="C56" s="34">
        <v>42</v>
      </c>
      <c r="D56" s="153"/>
      <c r="E56" s="154"/>
      <c r="F56" s="1775"/>
      <c r="G56" s="155"/>
      <c r="H56" s="156"/>
      <c r="I56" s="154"/>
      <c r="J56" s="157"/>
      <c r="K56" s="156"/>
      <c r="L56" s="154"/>
      <c r="M56" s="609" t="str">
        <f>IF(L56="","",IF(E56="","",IF('1B.TransitionalProg'!$H$8&gt;0,"",VLOOKUP($E56,' 1A.Prop&amp;Residents'!$P$41:$R$47,2,FALSE))))</f>
        <v/>
      </c>
      <c r="N56" s="609" t="str">
        <f>IF(L56="","",IF(E56="","",IF('1B.TransitionalProg'!$H$8&gt;0,"",VLOOKUP($E56,' 1A.Prop&amp;Residents'!$P$41:$R$47,3,FALSE))))</f>
        <v/>
      </c>
      <c r="O56" s="610" t="str">
        <f>IF(L56="", "", IF(E56="", "", IF('1B.TransitionalProg'!$H$8&gt;0,"",IF(L56&lt;M56,"overHOUSED?",IF(L56&gt;N56, "OVERcrowded?","")))))</f>
        <v/>
      </c>
      <c r="P56" s="623"/>
      <c r="Q56" s="154"/>
      <c r="R56" s="154"/>
      <c r="S56" s="156"/>
      <c r="T56" s="156"/>
      <c r="U56" s="156"/>
      <c r="V56" s="156"/>
      <c r="W56" s="1580" t="str">
        <f t="shared" si="1"/>
        <v/>
      </c>
      <c r="X56" s="155"/>
      <c r="Y56" s="156"/>
      <c r="Z56" s="233" t="str">
        <f t="shared" si="2"/>
        <v/>
      </c>
      <c r="AA56" s="1447">
        <f>VLOOKUP($C56,'3B.Demographic'!$C$15:$N$414,6,FALSE)</f>
        <v>0</v>
      </c>
      <c r="AB56" s="1447">
        <f>VLOOKUP($C56,'3B.Demographic'!$C$15:$N$414,7,FALSE)</f>
        <v>0</v>
      </c>
      <c r="AC56" s="1447">
        <f>VLOOKUP($C56,'3B.Demographic'!$C$15:$N$414,8,FALSE)</f>
        <v>0</v>
      </c>
      <c r="AD56" s="1447">
        <f>VLOOKUP($C56,'3B.Demographic'!$C$15:$N$414,9,FALSE)</f>
        <v>0</v>
      </c>
      <c r="AE56" s="1447">
        <f>VLOOKUP($C56,'3B.Demographic'!$C$15:$N$414,10,FALSE)</f>
        <v>0</v>
      </c>
      <c r="AF56" s="1475">
        <f>VLOOKUP($C56,'3B.Demographic'!$C$15:$N$414,11,FALSE)</f>
        <v>0</v>
      </c>
      <c r="AG56" s="1229">
        <f>VLOOKUP($C56,'3B.Demographic'!$C$15:$N$414,12,FALSE)</f>
        <v>0</v>
      </c>
    </row>
    <row r="57" spans="1:33" ht="20.100000000000001" customHeight="1">
      <c r="A57" s="217" t="str">
        <f>IF(D57&lt;&gt;"", ' 1A.Prop&amp;Residents'!$B$7, "")</f>
        <v/>
      </c>
      <c r="B57" s="217" t="str">
        <f t="shared" si="0"/>
        <v/>
      </c>
      <c r="C57" s="34">
        <v>43</v>
      </c>
      <c r="D57" s="153"/>
      <c r="E57" s="154"/>
      <c r="F57" s="1775"/>
      <c r="G57" s="155"/>
      <c r="H57" s="156"/>
      <c r="I57" s="154"/>
      <c r="J57" s="157"/>
      <c r="K57" s="156"/>
      <c r="L57" s="154"/>
      <c r="M57" s="609" t="str">
        <f>IF(L57="","",IF(E57="","",IF('1B.TransitionalProg'!$H$8&gt;0,"",VLOOKUP($E57,' 1A.Prop&amp;Residents'!$P$41:$R$47,2,FALSE))))</f>
        <v/>
      </c>
      <c r="N57" s="609" t="str">
        <f>IF(L57="","",IF(E57="","",IF('1B.TransitionalProg'!$H$8&gt;0,"",VLOOKUP($E57,' 1A.Prop&amp;Residents'!$P$41:$R$47,3,FALSE))))</f>
        <v/>
      </c>
      <c r="O57" s="610" t="str">
        <f>IF(L57="", "", IF(E57="", "", IF('1B.TransitionalProg'!$H$8&gt;0,"",IF(L57&lt;M57,"overHOUSED?",IF(L57&gt;N57, "OVERcrowded?","")))))</f>
        <v/>
      </c>
      <c r="P57" s="623"/>
      <c r="Q57" s="154"/>
      <c r="R57" s="154"/>
      <c r="S57" s="156"/>
      <c r="T57" s="156"/>
      <c r="U57" s="156"/>
      <c r="V57" s="156"/>
      <c r="W57" s="1580" t="str">
        <f t="shared" si="1"/>
        <v/>
      </c>
      <c r="X57" s="155"/>
      <c r="Y57" s="156"/>
      <c r="Z57" s="233" t="str">
        <f t="shared" si="2"/>
        <v/>
      </c>
      <c r="AA57" s="1447">
        <f>VLOOKUP($C57,'3B.Demographic'!$C$15:$N$414,6,FALSE)</f>
        <v>0</v>
      </c>
      <c r="AB57" s="1447">
        <f>VLOOKUP($C57,'3B.Demographic'!$C$15:$N$414,7,FALSE)</f>
        <v>0</v>
      </c>
      <c r="AC57" s="1447">
        <f>VLOOKUP($C57,'3B.Demographic'!$C$15:$N$414,8,FALSE)</f>
        <v>0</v>
      </c>
      <c r="AD57" s="1447">
        <f>VLOOKUP($C57,'3B.Demographic'!$C$15:$N$414,9,FALSE)</f>
        <v>0</v>
      </c>
      <c r="AE57" s="1447">
        <f>VLOOKUP($C57,'3B.Demographic'!$C$15:$N$414,10,FALSE)</f>
        <v>0</v>
      </c>
      <c r="AF57" s="1475">
        <f>VLOOKUP($C57,'3B.Demographic'!$C$15:$N$414,11,FALSE)</f>
        <v>0</v>
      </c>
      <c r="AG57" s="1229">
        <f>VLOOKUP($C57,'3B.Demographic'!$C$15:$N$414,12,FALSE)</f>
        <v>0</v>
      </c>
    </row>
    <row r="58" spans="1:33" ht="20.100000000000001" customHeight="1">
      <c r="A58" s="217" t="str">
        <f>IF(D58&lt;&gt;"", ' 1A.Prop&amp;Residents'!$B$7, "")</f>
        <v/>
      </c>
      <c r="B58" s="217" t="str">
        <f t="shared" si="0"/>
        <v/>
      </c>
      <c r="C58" s="34">
        <v>44</v>
      </c>
      <c r="D58" s="153"/>
      <c r="E58" s="154"/>
      <c r="F58" s="1775"/>
      <c r="G58" s="155"/>
      <c r="H58" s="156"/>
      <c r="I58" s="154"/>
      <c r="J58" s="157"/>
      <c r="K58" s="156"/>
      <c r="L58" s="154"/>
      <c r="M58" s="609" t="str">
        <f>IF(L58="","",IF(E58="","",IF('1B.TransitionalProg'!$H$8&gt;0,"",VLOOKUP($E58,' 1A.Prop&amp;Residents'!$P$41:$R$47,2,FALSE))))</f>
        <v/>
      </c>
      <c r="N58" s="609" t="str">
        <f>IF(L58="","",IF(E58="","",IF('1B.TransitionalProg'!$H$8&gt;0,"",VLOOKUP($E58,' 1A.Prop&amp;Residents'!$P$41:$R$47,3,FALSE))))</f>
        <v/>
      </c>
      <c r="O58" s="610" t="str">
        <f>IF(L58="", "", IF(E58="", "", IF('1B.TransitionalProg'!$H$8&gt;0,"",IF(L58&lt;M58,"overHOUSED?",IF(L58&gt;N58, "OVERcrowded?","")))))</f>
        <v/>
      </c>
      <c r="P58" s="623"/>
      <c r="Q58" s="154"/>
      <c r="R58" s="154"/>
      <c r="S58" s="156"/>
      <c r="T58" s="156"/>
      <c r="U58" s="156"/>
      <c r="V58" s="156"/>
      <c r="W58" s="1580" t="str">
        <f t="shared" si="1"/>
        <v/>
      </c>
      <c r="X58" s="155"/>
      <c r="Y58" s="156"/>
      <c r="Z58" s="233" t="str">
        <f t="shared" si="2"/>
        <v/>
      </c>
      <c r="AA58" s="1447">
        <f>VLOOKUP($C58,'3B.Demographic'!$C$15:$N$414,6,FALSE)</f>
        <v>0</v>
      </c>
      <c r="AB58" s="1447">
        <f>VLOOKUP($C58,'3B.Demographic'!$C$15:$N$414,7,FALSE)</f>
        <v>0</v>
      </c>
      <c r="AC58" s="1447">
        <f>VLOOKUP($C58,'3B.Demographic'!$C$15:$N$414,8,FALSE)</f>
        <v>0</v>
      </c>
      <c r="AD58" s="1447">
        <f>VLOOKUP($C58,'3B.Demographic'!$C$15:$N$414,9,FALSE)</f>
        <v>0</v>
      </c>
      <c r="AE58" s="1447">
        <f>VLOOKUP($C58,'3B.Demographic'!$C$15:$N$414,10,FALSE)</f>
        <v>0</v>
      </c>
      <c r="AF58" s="1475">
        <f>VLOOKUP($C58,'3B.Demographic'!$C$15:$N$414,11,FALSE)</f>
        <v>0</v>
      </c>
      <c r="AG58" s="1229">
        <f>VLOOKUP($C58,'3B.Demographic'!$C$15:$N$414,12,FALSE)</f>
        <v>0</v>
      </c>
    </row>
    <row r="59" spans="1:33" ht="20.100000000000001" customHeight="1">
      <c r="A59" s="217" t="str">
        <f>IF(D59&lt;&gt;"", ' 1A.Prop&amp;Residents'!$B$7, "")</f>
        <v/>
      </c>
      <c r="B59" s="217" t="str">
        <f t="shared" si="0"/>
        <v/>
      </c>
      <c r="C59" s="34">
        <v>45</v>
      </c>
      <c r="D59" s="153"/>
      <c r="E59" s="154"/>
      <c r="F59" s="1775"/>
      <c r="G59" s="155"/>
      <c r="H59" s="156"/>
      <c r="I59" s="154"/>
      <c r="J59" s="157"/>
      <c r="K59" s="156"/>
      <c r="L59" s="154"/>
      <c r="M59" s="609" t="str">
        <f>IF(L59="","",IF(E59="","",IF('1B.TransitionalProg'!$H$8&gt;0,"",VLOOKUP($E59,' 1A.Prop&amp;Residents'!$P$41:$R$47,2,FALSE))))</f>
        <v/>
      </c>
      <c r="N59" s="609" t="str">
        <f>IF(L59="","",IF(E59="","",IF('1B.TransitionalProg'!$H$8&gt;0,"",VLOOKUP($E59,' 1A.Prop&amp;Residents'!$P$41:$R$47,3,FALSE))))</f>
        <v/>
      </c>
      <c r="O59" s="610" t="str">
        <f>IF(L59="", "", IF(E59="", "", IF('1B.TransitionalProg'!$H$8&gt;0,"",IF(L59&lt;M59,"overHOUSED?",IF(L59&gt;N59, "OVERcrowded?","")))))</f>
        <v/>
      </c>
      <c r="P59" s="623"/>
      <c r="Q59" s="154"/>
      <c r="R59" s="154"/>
      <c r="S59" s="156"/>
      <c r="T59" s="156"/>
      <c r="U59" s="156"/>
      <c r="V59" s="156"/>
      <c r="W59" s="1580" t="str">
        <f t="shared" si="1"/>
        <v/>
      </c>
      <c r="X59" s="155"/>
      <c r="Y59" s="156"/>
      <c r="Z59" s="233" t="str">
        <f t="shared" si="2"/>
        <v/>
      </c>
      <c r="AA59" s="1447">
        <f>VLOOKUP($C59,'3B.Demographic'!$C$15:$N$414,6,FALSE)</f>
        <v>0</v>
      </c>
      <c r="AB59" s="1447">
        <f>VLOOKUP($C59,'3B.Demographic'!$C$15:$N$414,7,FALSE)</f>
        <v>0</v>
      </c>
      <c r="AC59" s="1447">
        <f>VLOOKUP($C59,'3B.Demographic'!$C$15:$N$414,8,FALSE)</f>
        <v>0</v>
      </c>
      <c r="AD59" s="1447">
        <f>VLOOKUP($C59,'3B.Demographic'!$C$15:$N$414,9,FALSE)</f>
        <v>0</v>
      </c>
      <c r="AE59" s="1447">
        <f>VLOOKUP($C59,'3B.Demographic'!$C$15:$N$414,10,FALSE)</f>
        <v>0</v>
      </c>
      <c r="AF59" s="1475">
        <f>VLOOKUP($C59,'3B.Demographic'!$C$15:$N$414,11,FALSE)</f>
        <v>0</v>
      </c>
      <c r="AG59" s="1229">
        <f>VLOOKUP($C59,'3B.Demographic'!$C$15:$N$414,12,FALSE)</f>
        <v>0</v>
      </c>
    </row>
    <row r="60" spans="1:33" ht="20.100000000000001" customHeight="1">
      <c r="A60" s="217" t="str">
        <f>IF(D60&lt;&gt;"", ' 1A.Prop&amp;Residents'!$B$7, "")</f>
        <v/>
      </c>
      <c r="B60" s="217" t="str">
        <f t="shared" si="0"/>
        <v/>
      </c>
      <c r="C60" s="34">
        <v>46</v>
      </c>
      <c r="D60" s="153"/>
      <c r="E60" s="154"/>
      <c r="F60" s="1775"/>
      <c r="G60" s="155"/>
      <c r="H60" s="156"/>
      <c r="I60" s="154"/>
      <c r="J60" s="157"/>
      <c r="K60" s="156"/>
      <c r="L60" s="154"/>
      <c r="M60" s="609" t="str">
        <f>IF(L60="","",IF(E60="","",IF('1B.TransitionalProg'!$H$8&gt;0,"",VLOOKUP($E60,' 1A.Prop&amp;Residents'!$P$41:$R$47,2,FALSE))))</f>
        <v/>
      </c>
      <c r="N60" s="609" t="str">
        <f>IF(L60="","",IF(E60="","",IF('1B.TransitionalProg'!$H$8&gt;0,"",VLOOKUP($E60,' 1A.Prop&amp;Residents'!$P$41:$R$47,3,FALSE))))</f>
        <v/>
      </c>
      <c r="O60" s="610" t="str">
        <f>IF(L60="", "", IF(E60="", "", IF('1B.TransitionalProg'!$H$8&gt;0,"",IF(L60&lt;M60,"overHOUSED?",IF(L60&gt;N60, "OVERcrowded?","")))))</f>
        <v/>
      </c>
      <c r="P60" s="623"/>
      <c r="Q60" s="154"/>
      <c r="R60" s="154"/>
      <c r="S60" s="156"/>
      <c r="T60" s="156"/>
      <c r="U60" s="156"/>
      <c r="V60" s="156"/>
      <c r="W60" s="1580" t="str">
        <f t="shared" si="1"/>
        <v/>
      </c>
      <c r="X60" s="155"/>
      <c r="Y60" s="156"/>
      <c r="Z60" s="233" t="str">
        <f t="shared" si="2"/>
        <v/>
      </c>
      <c r="AA60" s="1447">
        <f>VLOOKUP($C60,'3B.Demographic'!$C$15:$N$414,6,FALSE)</f>
        <v>0</v>
      </c>
      <c r="AB60" s="1447">
        <f>VLOOKUP($C60,'3B.Demographic'!$C$15:$N$414,7,FALSE)</f>
        <v>0</v>
      </c>
      <c r="AC60" s="1447">
        <f>VLOOKUP($C60,'3B.Demographic'!$C$15:$N$414,8,FALSE)</f>
        <v>0</v>
      </c>
      <c r="AD60" s="1447">
        <f>VLOOKUP($C60,'3B.Demographic'!$C$15:$N$414,9,FALSE)</f>
        <v>0</v>
      </c>
      <c r="AE60" s="1447">
        <f>VLOOKUP($C60,'3B.Demographic'!$C$15:$N$414,10,FALSE)</f>
        <v>0</v>
      </c>
      <c r="AF60" s="1475">
        <f>VLOOKUP($C60,'3B.Demographic'!$C$15:$N$414,11,FALSE)</f>
        <v>0</v>
      </c>
      <c r="AG60" s="1229">
        <f>VLOOKUP($C60,'3B.Demographic'!$C$15:$N$414,12,FALSE)</f>
        <v>0</v>
      </c>
    </row>
    <row r="61" spans="1:33" ht="20.100000000000001" customHeight="1">
      <c r="A61" s="217" t="str">
        <f>IF(D61&lt;&gt;"", ' 1A.Prop&amp;Residents'!$B$7, "")</f>
        <v/>
      </c>
      <c r="B61" s="217" t="str">
        <f t="shared" si="0"/>
        <v/>
      </c>
      <c r="C61" s="34">
        <v>47</v>
      </c>
      <c r="D61" s="153"/>
      <c r="E61" s="154"/>
      <c r="F61" s="1775"/>
      <c r="G61" s="155"/>
      <c r="H61" s="156"/>
      <c r="I61" s="154"/>
      <c r="J61" s="157"/>
      <c r="K61" s="156"/>
      <c r="L61" s="154"/>
      <c r="M61" s="609" t="str">
        <f>IF(L61="","",IF(E61="","",IF('1B.TransitionalProg'!$H$8&gt;0,"",VLOOKUP($E61,' 1A.Prop&amp;Residents'!$P$41:$R$47,2,FALSE))))</f>
        <v/>
      </c>
      <c r="N61" s="609" t="str">
        <f>IF(L61="","",IF(E61="","",IF('1B.TransitionalProg'!$H$8&gt;0,"",VLOOKUP($E61,' 1A.Prop&amp;Residents'!$P$41:$R$47,3,FALSE))))</f>
        <v/>
      </c>
      <c r="O61" s="610" t="str">
        <f>IF(L61="", "", IF(E61="", "", IF('1B.TransitionalProg'!$H$8&gt;0,"",IF(L61&lt;M61,"overHOUSED?",IF(L61&gt;N61, "OVERcrowded?","")))))</f>
        <v/>
      </c>
      <c r="P61" s="623"/>
      <c r="Q61" s="154"/>
      <c r="R61" s="154"/>
      <c r="S61" s="156"/>
      <c r="T61" s="156"/>
      <c r="U61" s="156"/>
      <c r="V61" s="156"/>
      <c r="W61" s="1580" t="str">
        <f t="shared" si="1"/>
        <v/>
      </c>
      <c r="X61" s="155"/>
      <c r="Y61" s="156"/>
      <c r="Z61" s="233" t="str">
        <f t="shared" si="2"/>
        <v/>
      </c>
      <c r="AA61" s="1447">
        <f>VLOOKUP($C61,'3B.Demographic'!$C$15:$N$414,6,FALSE)</f>
        <v>0</v>
      </c>
      <c r="AB61" s="1447">
        <f>VLOOKUP($C61,'3B.Demographic'!$C$15:$N$414,7,FALSE)</f>
        <v>0</v>
      </c>
      <c r="AC61" s="1447">
        <f>VLOOKUP($C61,'3B.Demographic'!$C$15:$N$414,8,FALSE)</f>
        <v>0</v>
      </c>
      <c r="AD61" s="1447">
        <f>VLOOKUP($C61,'3B.Demographic'!$C$15:$N$414,9,FALSE)</f>
        <v>0</v>
      </c>
      <c r="AE61" s="1447">
        <f>VLOOKUP($C61,'3B.Demographic'!$C$15:$N$414,10,FALSE)</f>
        <v>0</v>
      </c>
      <c r="AF61" s="1475">
        <f>VLOOKUP($C61,'3B.Demographic'!$C$15:$N$414,11,FALSE)</f>
        <v>0</v>
      </c>
      <c r="AG61" s="1229">
        <f>VLOOKUP($C61,'3B.Demographic'!$C$15:$N$414,12,FALSE)</f>
        <v>0</v>
      </c>
    </row>
    <row r="62" spans="1:33" ht="20.100000000000001" customHeight="1">
      <c r="A62" s="217" t="str">
        <f>IF(D62&lt;&gt;"", ' 1A.Prop&amp;Residents'!$B$7, "")</f>
        <v/>
      </c>
      <c r="B62" s="217" t="str">
        <f t="shared" si="0"/>
        <v/>
      </c>
      <c r="C62" s="34">
        <v>48</v>
      </c>
      <c r="D62" s="153"/>
      <c r="E62" s="154"/>
      <c r="F62" s="1775"/>
      <c r="G62" s="155"/>
      <c r="H62" s="156"/>
      <c r="I62" s="154"/>
      <c r="J62" s="157"/>
      <c r="K62" s="156"/>
      <c r="L62" s="154"/>
      <c r="M62" s="609" t="str">
        <f>IF(L62="","",IF(E62="","",IF('1B.TransitionalProg'!$H$8&gt;0,"",VLOOKUP($E62,' 1A.Prop&amp;Residents'!$P$41:$R$47,2,FALSE))))</f>
        <v/>
      </c>
      <c r="N62" s="609" t="str">
        <f>IF(L62="","",IF(E62="","",IF('1B.TransitionalProg'!$H$8&gt;0,"",VLOOKUP($E62,' 1A.Prop&amp;Residents'!$P$41:$R$47,3,FALSE))))</f>
        <v/>
      </c>
      <c r="O62" s="610" t="str">
        <f>IF(L62="", "", IF(E62="", "", IF('1B.TransitionalProg'!$H$8&gt;0,"",IF(L62&lt;M62,"overHOUSED?",IF(L62&gt;N62, "OVERcrowded?","")))))</f>
        <v/>
      </c>
      <c r="P62" s="623"/>
      <c r="Q62" s="154"/>
      <c r="R62" s="154"/>
      <c r="S62" s="156"/>
      <c r="T62" s="156"/>
      <c r="U62" s="156"/>
      <c r="V62" s="156"/>
      <c r="W62" s="1580" t="str">
        <f t="shared" si="1"/>
        <v/>
      </c>
      <c r="X62" s="155"/>
      <c r="Y62" s="156"/>
      <c r="Z62" s="233" t="str">
        <f t="shared" si="2"/>
        <v/>
      </c>
      <c r="AA62" s="1447">
        <f>VLOOKUP($C62,'3B.Demographic'!$C$15:$N$414,6,FALSE)</f>
        <v>0</v>
      </c>
      <c r="AB62" s="1447">
        <f>VLOOKUP($C62,'3B.Demographic'!$C$15:$N$414,7,FALSE)</f>
        <v>0</v>
      </c>
      <c r="AC62" s="1447">
        <f>VLOOKUP($C62,'3B.Demographic'!$C$15:$N$414,8,FALSE)</f>
        <v>0</v>
      </c>
      <c r="AD62" s="1447">
        <f>VLOOKUP($C62,'3B.Demographic'!$C$15:$N$414,9,FALSE)</f>
        <v>0</v>
      </c>
      <c r="AE62" s="1447">
        <f>VLOOKUP($C62,'3B.Demographic'!$C$15:$N$414,10,FALSE)</f>
        <v>0</v>
      </c>
      <c r="AF62" s="1475">
        <f>VLOOKUP($C62,'3B.Demographic'!$C$15:$N$414,11,FALSE)</f>
        <v>0</v>
      </c>
      <c r="AG62" s="1229">
        <f>VLOOKUP($C62,'3B.Demographic'!$C$15:$N$414,12,FALSE)</f>
        <v>0</v>
      </c>
    </row>
    <row r="63" spans="1:33" ht="20.100000000000001" customHeight="1">
      <c r="A63" s="217" t="str">
        <f>IF(D63&lt;&gt;"", ' 1A.Prop&amp;Residents'!$B$7, "")</f>
        <v/>
      </c>
      <c r="B63" s="217" t="str">
        <f t="shared" si="0"/>
        <v/>
      </c>
      <c r="C63" s="34">
        <v>49</v>
      </c>
      <c r="D63" s="153"/>
      <c r="E63" s="154"/>
      <c r="F63" s="1775"/>
      <c r="G63" s="155"/>
      <c r="H63" s="156"/>
      <c r="I63" s="154"/>
      <c r="J63" s="157"/>
      <c r="K63" s="156"/>
      <c r="L63" s="154"/>
      <c r="M63" s="609" t="str">
        <f>IF(L63="","",IF(E63="","",IF('1B.TransitionalProg'!$H$8&gt;0,"",VLOOKUP($E63,' 1A.Prop&amp;Residents'!$P$41:$R$47,2,FALSE))))</f>
        <v/>
      </c>
      <c r="N63" s="609" t="str">
        <f>IF(L63="","",IF(E63="","",IF('1B.TransitionalProg'!$H$8&gt;0,"",VLOOKUP($E63,' 1A.Prop&amp;Residents'!$P$41:$R$47,3,FALSE))))</f>
        <v/>
      </c>
      <c r="O63" s="610" t="str">
        <f>IF(L63="", "", IF(E63="", "", IF('1B.TransitionalProg'!$H$8&gt;0,"",IF(L63&lt;M63,"overHOUSED?",IF(L63&gt;N63, "OVERcrowded?","")))))</f>
        <v/>
      </c>
      <c r="P63" s="623"/>
      <c r="Q63" s="154"/>
      <c r="R63" s="154"/>
      <c r="S63" s="156"/>
      <c r="T63" s="156"/>
      <c r="U63" s="156"/>
      <c r="V63" s="156"/>
      <c r="W63" s="1580" t="str">
        <f t="shared" si="1"/>
        <v/>
      </c>
      <c r="X63" s="155"/>
      <c r="Y63" s="156"/>
      <c r="Z63" s="233" t="str">
        <f t="shared" si="2"/>
        <v/>
      </c>
      <c r="AA63" s="1447">
        <f>VLOOKUP($C63,'3B.Demographic'!$C$15:$N$414,6,FALSE)</f>
        <v>0</v>
      </c>
      <c r="AB63" s="1447">
        <f>VLOOKUP($C63,'3B.Demographic'!$C$15:$N$414,7,FALSE)</f>
        <v>0</v>
      </c>
      <c r="AC63" s="1447">
        <f>VLOOKUP($C63,'3B.Demographic'!$C$15:$N$414,8,FALSE)</f>
        <v>0</v>
      </c>
      <c r="AD63" s="1447">
        <f>VLOOKUP($C63,'3B.Demographic'!$C$15:$N$414,9,FALSE)</f>
        <v>0</v>
      </c>
      <c r="AE63" s="1447">
        <f>VLOOKUP($C63,'3B.Demographic'!$C$15:$N$414,10,FALSE)</f>
        <v>0</v>
      </c>
      <c r="AF63" s="1475">
        <f>VLOOKUP($C63,'3B.Demographic'!$C$15:$N$414,11,FALSE)</f>
        <v>0</v>
      </c>
      <c r="AG63" s="1229">
        <f>VLOOKUP($C63,'3B.Demographic'!$C$15:$N$414,12,FALSE)</f>
        <v>0</v>
      </c>
    </row>
    <row r="64" spans="1:33" ht="20.100000000000001" customHeight="1">
      <c r="A64" s="217" t="str">
        <f>IF(D64&lt;&gt;"", ' 1A.Prop&amp;Residents'!$B$7, "")</f>
        <v/>
      </c>
      <c r="B64" s="217" t="str">
        <f t="shared" si="0"/>
        <v/>
      </c>
      <c r="C64" s="34">
        <v>50</v>
      </c>
      <c r="D64" s="153"/>
      <c r="E64" s="154"/>
      <c r="F64" s="1775"/>
      <c r="G64" s="155"/>
      <c r="H64" s="156"/>
      <c r="I64" s="154"/>
      <c r="J64" s="157"/>
      <c r="K64" s="156"/>
      <c r="L64" s="154"/>
      <c r="M64" s="609" t="str">
        <f>IF(L64="","",IF(E64="","",IF('1B.TransitionalProg'!$H$8&gt;0,"",VLOOKUP($E64,' 1A.Prop&amp;Residents'!$P$41:$R$47,2,FALSE))))</f>
        <v/>
      </c>
      <c r="N64" s="609" t="str">
        <f>IF(L64="","",IF(E64="","",IF('1B.TransitionalProg'!$H$8&gt;0,"",VLOOKUP($E64,' 1A.Prop&amp;Residents'!$P$41:$R$47,3,FALSE))))</f>
        <v/>
      </c>
      <c r="O64" s="610" t="str">
        <f>IF(L64="", "", IF(E64="", "", IF('1B.TransitionalProg'!$H$8&gt;0,"",IF(L64&lt;M64,"overHOUSED?",IF(L64&gt;N64, "OVERcrowded?","")))))</f>
        <v/>
      </c>
      <c r="P64" s="623"/>
      <c r="Q64" s="154"/>
      <c r="R64" s="154"/>
      <c r="S64" s="156"/>
      <c r="T64" s="156"/>
      <c r="U64" s="156"/>
      <c r="V64" s="156"/>
      <c r="W64" s="1580" t="str">
        <f t="shared" si="1"/>
        <v/>
      </c>
      <c r="X64" s="155"/>
      <c r="Y64" s="156"/>
      <c r="Z64" s="233" t="str">
        <f t="shared" si="2"/>
        <v/>
      </c>
      <c r="AA64" s="1447">
        <f>VLOOKUP($C64,'3B.Demographic'!$C$15:$N$414,6,FALSE)</f>
        <v>0</v>
      </c>
      <c r="AB64" s="1447">
        <f>VLOOKUP($C64,'3B.Demographic'!$C$15:$N$414,7,FALSE)</f>
        <v>0</v>
      </c>
      <c r="AC64" s="1447">
        <f>VLOOKUP($C64,'3B.Demographic'!$C$15:$N$414,8,FALSE)</f>
        <v>0</v>
      </c>
      <c r="AD64" s="1447">
        <f>VLOOKUP($C64,'3B.Demographic'!$C$15:$N$414,9,FALSE)</f>
        <v>0</v>
      </c>
      <c r="AE64" s="1447">
        <f>VLOOKUP($C64,'3B.Demographic'!$C$15:$N$414,10,FALSE)</f>
        <v>0</v>
      </c>
      <c r="AF64" s="1475">
        <f>VLOOKUP($C64,'3B.Demographic'!$C$15:$N$414,11,FALSE)</f>
        <v>0</v>
      </c>
      <c r="AG64" s="1229">
        <f>VLOOKUP($C64,'3B.Demographic'!$C$15:$N$414,12,FALSE)</f>
        <v>0</v>
      </c>
    </row>
    <row r="65" spans="1:33" ht="20.100000000000001" customHeight="1">
      <c r="A65" s="217" t="str">
        <f>IF(D65&lt;&gt;"", ' 1A.Prop&amp;Residents'!$B$7, "")</f>
        <v/>
      </c>
      <c r="B65" s="217" t="str">
        <f t="shared" si="0"/>
        <v/>
      </c>
      <c r="C65" s="34">
        <v>51</v>
      </c>
      <c r="D65" s="153"/>
      <c r="E65" s="154"/>
      <c r="F65" s="1775"/>
      <c r="G65" s="155"/>
      <c r="H65" s="156"/>
      <c r="I65" s="154"/>
      <c r="J65" s="157"/>
      <c r="K65" s="156"/>
      <c r="L65" s="154"/>
      <c r="M65" s="609" t="str">
        <f>IF(L65="","",IF(E65="","",IF('1B.TransitionalProg'!$H$8&gt;0,"",VLOOKUP($E65,' 1A.Prop&amp;Residents'!$P$41:$R$47,2,FALSE))))</f>
        <v/>
      </c>
      <c r="N65" s="609" t="str">
        <f>IF(L65="","",IF(E65="","",IF('1B.TransitionalProg'!$H$8&gt;0,"",VLOOKUP($E65,' 1A.Prop&amp;Residents'!$P$41:$R$47,3,FALSE))))</f>
        <v/>
      </c>
      <c r="O65" s="610" t="str">
        <f>IF(L65="", "", IF(E65="", "", IF('1B.TransitionalProg'!$H$8&gt;0,"",IF(L65&lt;M65,"overHOUSED?",IF(L65&gt;N65, "OVERcrowded?","")))))</f>
        <v/>
      </c>
      <c r="P65" s="623"/>
      <c r="Q65" s="154"/>
      <c r="R65" s="154"/>
      <c r="S65" s="156"/>
      <c r="T65" s="156"/>
      <c r="U65" s="156"/>
      <c r="V65" s="156"/>
      <c r="W65" s="1580" t="str">
        <f t="shared" si="1"/>
        <v/>
      </c>
      <c r="X65" s="155"/>
      <c r="Y65" s="156"/>
      <c r="Z65" s="233" t="str">
        <f t="shared" si="2"/>
        <v/>
      </c>
      <c r="AA65" s="1447">
        <f>VLOOKUP($C65,'3B.Demographic'!$C$15:$N$414,6,FALSE)</f>
        <v>0</v>
      </c>
      <c r="AB65" s="1447">
        <f>VLOOKUP($C65,'3B.Demographic'!$C$15:$N$414,7,FALSE)</f>
        <v>0</v>
      </c>
      <c r="AC65" s="1447">
        <f>VLOOKUP($C65,'3B.Demographic'!$C$15:$N$414,8,FALSE)</f>
        <v>0</v>
      </c>
      <c r="AD65" s="1447">
        <f>VLOOKUP($C65,'3B.Demographic'!$C$15:$N$414,9,FALSE)</f>
        <v>0</v>
      </c>
      <c r="AE65" s="1447">
        <f>VLOOKUP($C65,'3B.Demographic'!$C$15:$N$414,10,FALSE)</f>
        <v>0</v>
      </c>
      <c r="AF65" s="1475">
        <f>VLOOKUP($C65,'3B.Demographic'!$C$15:$N$414,11,FALSE)</f>
        <v>0</v>
      </c>
      <c r="AG65" s="1229">
        <f>VLOOKUP($C65,'3B.Demographic'!$C$15:$N$414,12,FALSE)</f>
        <v>0</v>
      </c>
    </row>
    <row r="66" spans="1:33" ht="20.100000000000001" customHeight="1">
      <c r="A66" s="217" t="str">
        <f>IF(D66&lt;&gt;"", ' 1A.Prop&amp;Residents'!$B$7, "")</f>
        <v/>
      </c>
      <c r="B66" s="217" t="str">
        <f t="shared" si="0"/>
        <v/>
      </c>
      <c r="C66" s="34">
        <v>52</v>
      </c>
      <c r="D66" s="153"/>
      <c r="E66" s="154"/>
      <c r="F66" s="1775"/>
      <c r="G66" s="155"/>
      <c r="H66" s="156"/>
      <c r="I66" s="154"/>
      <c r="J66" s="157"/>
      <c r="K66" s="156"/>
      <c r="L66" s="154"/>
      <c r="M66" s="609" t="str">
        <f>IF(L66="","",IF(E66="","",IF('1B.TransitionalProg'!$H$8&gt;0,"",VLOOKUP($E66,' 1A.Prop&amp;Residents'!$P$41:$R$47,2,FALSE))))</f>
        <v/>
      </c>
      <c r="N66" s="609" t="str">
        <f>IF(L66="","",IF(E66="","",IF('1B.TransitionalProg'!$H$8&gt;0,"",VLOOKUP($E66,' 1A.Prop&amp;Residents'!$P$41:$R$47,3,FALSE))))</f>
        <v/>
      </c>
      <c r="O66" s="610" t="str">
        <f>IF(L66="", "", IF(E66="", "", IF('1B.TransitionalProg'!$H$8&gt;0,"",IF(L66&lt;M66,"overHOUSED?",IF(L66&gt;N66, "OVERcrowded?","")))))</f>
        <v/>
      </c>
      <c r="P66" s="623"/>
      <c r="Q66" s="154"/>
      <c r="R66" s="154"/>
      <c r="S66" s="156"/>
      <c r="T66" s="156"/>
      <c r="U66" s="156"/>
      <c r="V66" s="156"/>
      <c r="W66" s="1580" t="str">
        <f t="shared" si="1"/>
        <v/>
      </c>
      <c r="X66" s="155"/>
      <c r="Y66" s="156"/>
      <c r="Z66" s="233" t="str">
        <f t="shared" si="2"/>
        <v/>
      </c>
      <c r="AA66" s="1447">
        <f>VLOOKUP($C66,'3B.Demographic'!$C$15:$N$414,6,FALSE)</f>
        <v>0</v>
      </c>
      <c r="AB66" s="1447">
        <f>VLOOKUP($C66,'3B.Demographic'!$C$15:$N$414,7,FALSE)</f>
        <v>0</v>
      </c>
      <c r="AC66" s="1447">
        <f>VLOOKUP($C66,'3B.Demographic'!$C$15:$N$414,8,FALSE)</f>
        <v>0</v>
      </c>
      <c r="AD66" s="1447">
        <f>VLOOKUP($C66,'3B.Demographic'!$C$15:$N$414,9,FALSE)</f>
        <v>0</v>
      </c>
      <c r="AE66" s="1447">
        <f>VLOOKUP($C66,'3B.Demographic'!$C$15:$N$414,10,FALSE)</f>
        <v>0</v>
      </c>
      <c r="AF66" s="1475">
        <f>VLOOKUP($C66,'3B.Demographic'!$C$15:$N$414,11,FALSE)</f>
        <v>0</v>
      </c>
      <c r="AG66" s="1229">
        <f>VLOOKUP($C66,'3B.Demographic'!$C$15:$N$414,12,FALSE)</f>
        <v>0</v>
      </c>
    </row>
    <row r="67" spans="1:33" ht="20.100000000000001" customHeight="1">
      <c r="A67" s="217" t="str">
        <f>IF(D67&lt;&gt;"", ' 1A.Prop&amp;Residents'!$B$7, "")</f>
        <v/>
      </c>
      <c r="B67" s="217" t="str">
        <f t="shared" si="0"/>
        <v/>
      </c>
      <c r="C67" s="34">
        <v>53</v>
      </c>
      <c r="D67" s="153"/>
      <c r="E67" s="154"/>
      <c r="F67" s="1775"/>
      <c r="G67" s="155"/>
      <c r="H67" s="156"/>
      <c r="I67" s="154"/>
      <c r="J67" s="157"/>
      <c r="K67" s="156"/>
      <c r="L67" s="154"/>
      <c r="M67" s="609" t="str">
        <f>IF(L67="","",IF(E67="","",IF('1B.TransitionalProg'!$H$8&gt;0,"",VLOOKUP($E67,' 1A.Prop&amp;Residents'!$P$41:$R$47,2,FALSE))))</f>
        <v/>
      </c>
      <c r="N67" s="609" t="str">
        <f>IF(L67="","",IF(E67="","",IF('1B.TransitionalProg'!$H$8&gt;0,"",VLOOKUP($E67,' 1A.Prop&amp;Residents'!$P$41:$R$47,3,FALSE))))</f>
        <v/>
      </c>
      <c r="O67" s="610" t="str">
        <f>IF(L67="", "", IF(E67="", "", IF('1B.TransitionalProg'!$H$8&gt;0,"",IF(L67&lt;M67,"overHOUSED?",IF(L67&gt;N67, "OVERcrowded?","")))))</f>
        <v/>
      </c>
      <c r="P67" s="623"/>
      <c r="Q67" s="154"/>
      <c r="R67" s="154"/>
      <c r="S67" s="156"/>
      <c r="T67" s="156"/>
      <c r="U67" s="156"/>
      <c r="V67" s="156"/>
      <c r="W67" s="1580" t="str">
        <f t="shared" si="1"/>
        <v/>
      </c>
      <c r="X67" s="155"/>
      <c r="Y67" s="156"/>
      <c r="Z67" s="233" t="str">
        <f t="shared" si="2"/>
        <v/>
      </c>
      <c r="AA67" s="1447">
        <f>VLOOKUP($C67,'3B.Demographic'!$C$15:$N$414,6,FALSE)</f>
        <v>0</v>
      </c>
      <c r="AB67" s="1447">
        <f>VLOOKUP($C67,'3B.Demographic'!$C$15:$N$414,7,FALSE)</f>
        <v>0</v>
      </c>
      <c r="AC67" s="1447">
        <f>VLOOKUP($C67,'3B.Demographic'!$C$15:$N$414,8,FALSE)</f>
        <v>0</v>
      </c>
      <c r="AD67" s="1447">
        <f>VLOOKUP($C67,'3B.Demographic'!$C$15:$N$414,9,FALSE)</f>
        <v>0</v>
      </c>
      <c r="AE67" s="1447">
        <f>VLOOKUP($C67,'3B.Demographic'!$C$15:$N$414,10,FALSE)</f>
        <v>0</v>
      </c>
      <c r="AF67" s="1475">
        <f>VLOOKUP($C67,'3B.Demographic'!$C$15:$N$414,11,FALSE)</f>
        <v>0</v>
      </c>
      <c r="AG67" s="1229">
        <f>VLOOKUP($C67,'3B.Demographic'!$C$15:$N$414,12,FALSE)</f>
        <v>0</v>
      </c>
    </row>
    <row r="68" spans="1:33" ht="20.100000000000001" customHeight="1">
      <c r="A68" s="217" t="str">
        <f>IF(D68&lt;&gt;"", ' 1A.Prop&amp;Residents'!$B$7, "")</f>
        <v/>
      </c>
      <c r="B68" s="217" t="str">
        <f t="shared" si="0"/>
        <v/>
      </c>
      <c r="C68" s="34">
        <v>54</v>
      </c>
      <c r="D68" s="153"/>
      <c r="E68" s="154"/>
      <c r="F68" s="1775"/>
      <c r="G68" s="155"/>
      <c r="H68" s="156"/>
      <c r="I68" s="154"/>
      <c r="J68" s="157"/>
      <c r="K68" s="156"/>
      <c r="L68" s="154"/>
      <c r="M68" s="609" t="str">
        <f>IF(L68="","",IF(E68="","",IF('1B.TransitionalProg'!$H$8&gt;0,"",VLOOKUP($E68,' 1A.Prop&amp;Residents'!$P$41:$R$47,2,FALSE))))</f>
        <v/>
      </c>
      <c r="N68" s="609" t="str">
        <f>IF(L68="","",IF(E68="","",IF('1B.TransitionalProg'!$H$8&gt;0,"",VLOOKUP($E68,' 1A.Prop&amp;Residents'!$P$41:$R$47,3,FALSE))))</f>
        <v/>
      </c>
      <c r="O68" s="610" t="str">
        <f>IF(L68="", "", IF(E68="", "", IF('1B.TransitionalProg'!$H$8&gt;0,"",IF(L68&lt;M68,"overHOUSED?",IF(L68&gt;N68, "OVERcrowded?","")))))</f>
        <v/>
      </c>
      <c r="P68" s="623"/>
      <c r="Q68" s="154"/>
      <c r="R68" s="154"/>
      <c r="S68" s="156"/>
      <c r="T68" s="156"/>
      <c r="U68" s="156"/>
      <c r="V68" s="156"/>
      <c r="W68" s="1580" t="str">
        <f t="shared" si="1"/>
        <v/>
      </c>
      <c r="X68" s="155"/>
      <c r="Y68" s="156"/>
      <c r="Z68" s="233" t="str">
        <f t="shared" si="2"/>
        <v/>
      </c>
      <c r="AA68" s="1447">
        <f>VLOOKUP($C68,'3B.Demographic'!$C$15:$N$414,6,FALSE)</f>
        <v>0</v>
      </c>
      <c r="AB68" s="1447">
        <f>VLOOKUP($C68,'3B.Demographic'!$C$15:$N$414,7,FALSE)</f>
        <v>0</v>
      </c>
      <c r="AC68" s="1447">
        <f>VLOOKUP($C68,'3B.Demographic'!$C$15:$N$414,8,FALSE)</f>
        <v>0</v>
      </c>
      <c r="AD68" s="1447">
        <f>VLOOKUP($C68,'3B.Demographic'!$C$15:$N$414,9,FALSE)</f>
        <v>0</v>
      </c>
      <c r="AE68" s="1447">
        <f>VLOOKUP($C68,'3B.Demographic'!$C$15:$N$414,10,FALSE)</f>
        <v>0</v>
      </c>
      <c r="AF68" s="1475">
        <f>VLOOKUP($C68,'3B.Demographic'!$C$15:$N$414,11,FALSE)</f>
        <v>0</v>
      </c>
      <c r="AG68" s="1229">
        <f>VLOOKUP($C68,'3B.Demographic'!$C$15:$N$414,12,FALSE)</f>
        <v>0</v>
      </c>
    </row>
    <row r="69" spans="1:33" ht="20.100000000000001" customHeight="1">
      <c r="A69" s="217" t="str">
        <f>IF(D69&lt;&gt;"", ' 1A.Prop&amp;Residents'!$B$7, "")</f>
        <v/>
      </c>
      <c r="B69" s="217" t="str">
        <f t="shared" si="0"/>
        <v/>
      </c>
      <c r="C69" s="34">
        <v>55</v>
      </c>
      <c r="D69" s="153"/>
      <c r="E69" s="154"/>
      <c r="F69" s="1775"/>
      <c r="G69" s="155"/>
      <c r="H69" s="156"/>
      <c r="I69" s="154"/>
      <c r="J69" s="157"/>
      <c r="K69" s="156"/>
      <c r="L69" s="154"/>
      <c r="M69" s="609" t="str">
        <f>IF(L69="","",IF(E69="","",IF('1B.TransitionalProg'!$H$8&gt;0,"",VLOOKUP($E69,' 1A.Prop&amp;Residents'!$P$41:$R$47,2,FALSE))))</f>
        <v/>
      </c>
      <c r="N69" s="609" t="str">
        <f>IF(L69="","",IF(E69="","",IF('1B.TransitionalProg'!$H$8&gt;0,"",VLOOKUP($E69,' 1A.Prop&amp;Residents'!$P$41:$R$47,3,FALSE))))</f>
        <v/>
      </c>
      <c r="O69" s="610" t="str">
        <f>IF(L69="", "", IF(E69="", "", IF('1B.TransitionalProg'!$H$8&gt;0,"",IF(L69&lt;M69,"overHOUSED?",IF(L69&gt;N69, "OVERcrowded?","")))))</f>
        <v/>
      </c>
      <c r="P69" s="623"/>
      <c r="Q69" s="154"/>
      <c r="R69" s="154"/>
      <c r="S69" s="156"/>
      <c r="T69" s="156"/>
      <c r="U69" s="156"/>
      <c r="V69" s="156"/>
      <c r="W69" s="1580" t="str">
        <f t="shared" si="1"/>
        <v/>
      </c>
      <c r="X69" s="155"/>
      <c r="Y69" s="156"/>
      <c r="Z69" s="233" t="str">
        <f t="shared" si="2"/>
        <v/>
      </c>
      <c r="AA69" s="1447">
        <f>VLOOKUP($C69,'3B.Demographic'!$C$15:$N$414,6,FALSE)</f>
        <v>0</v>
      </c>
      <c r="AB69" s="1447">
        <f>VLOOKUP($C69,'3B.Demographic'!$C$15:$N$414,7,FALSE)</f>
        <v>0</v>
      </c>
      <c r="AC69" s="1447">
        <f>VLOOKUP($C69,'3B.Demographic'!$C$15:$N$414,8,FALSE)</f>
        <v>0</v>
      </c>
      <c r="AD69" s="1447">
        <f>VLOOKUP($C69,'3B.Demographic'!$C$15:$N$414,9,FALSE)</f>
        <v>0</v>
      </c>
      <c r="AE69" s="1447">
        <f>VLOOKUP($C69,'3B.Demographic'!$C$15:$N$414,10,FALSE)</f>
        <v>0</v>
      </c>
      <c r="AF69" s="1475">
        <f>VLOOKUP($C69,'3B.Demographic'!$C$15:$N$414,11,FALSE)</f>
        <v>0</v>
      </c>
      <c r="AG69" s="1229">
        <f>VLOOKUP($C69,'3B.Demographic'!$C$15:$N$414,12,FALSE)</f>
        <v>0</v>
      </c>
    </row>
    <row r="70" spans="1:33" ht="20.100000000000001" customHeight="1">
      <c r="A70" s="217" t="str">
        <f>IF(D70&lt;&gt;"", ' 1A.Prop&amp;Residents'!$B$7, "")</f>
        <v/>
      </c>
      <c r="B70" s="217" t="str">
        <f t="shared" si="0"/>
        <v/>
      </c>
      <c r="C70" s="34">
        <v>56</v>
      </c>
      <c r="D70" s="153"/>
      <c r="E70" s="154"/>
      <c r="F70" s="1775"/>
      <c r="G70" s="155"/>
      <c r="H70" s="156"/>
      <c r="I70" s="154"/>
      <c r="J70" s="157"/>
      <c r="K70" s="156"/>
      <c r="L70" s="154"/>
      <c r="M70" s="609" t="str">
        <f>IF(L70="","",IF(E70="","",IF('1B.TransitionalProg'!$H$8&gt;0,"",VLOOKUP($E70,' 1A.Prop&amp;Residents'!$P$41:$R$47,2,FALSE))))</f>
        <v/>
      </c>
      <c r="N70" s="609" t="str">
        <f>IF(L70="","",IF(E70="","",IF('1B.TransitionalProg'!$H$8&gt;0,"",VLOOKUP($E70,' 1A.Prop&amp;Residents'!$P$41:$R$47,3,FALSE))))</f>
        <v/>
      </c>
      <c r="O70" s="610" t="str">
        <f>IF(L70="", "", IF(E70="", "", IF('1B.TransitionalProg'!$H$8&gt;0,"",IF(L70&lt;M70,"overHOUSED?",IF(L70&gt;N70, "OVERcrowded?","")))))</f>
        <v/>
      </c>
      <c r="P70" s="623"/>
      <c r="Q70" s="154"/>
      <c r="R70" s="154"/>
      <c r="S70" s="156"/>
      <c r="T70" s="156"/>
      <c r="U70" s="156"/>
      <c r="V70" s="156"/>
      <c r="W70" s="1580" t="str">
        <f t="shared" si="1"/>
        <v/>
      </c>
      <c r="X70" s="155"/>
      <c r="Y70" s="156"/>
      <c r="Z70" s="233" t="str">
        <f t="shared" si="2"/>
        <v/>
      </c>
      <c r="AA70" s="1447">
        <f>VLOOKUP($C70,'3B.Demographic'!$C$15:$N$414,6,FALSE)</f>
        <v>0</v>
      </c>
      <c r="AB70" s="1447">
        <f>VLOOKUP($C70,'3B.Demographic'!$C$15:$N$414,7,FALSE)</f>
        <v>0</v>
      </c>
      <c r="AC70" s="1447">
        <f>VLOOKUP($C70,'3B.Demographic'!$C$15:$N$414,8,FALSE)</f>
        <v>0</v>
      </c>
      <c r="AD70" s="1447">
        <f>VLOOKUP($C70,'3B.Demographic'!$C$15:$N$414,9,FALSE)</f>
        <v>0</v>
      </c>
      <c r="AE70" s="1447">
        <f>VLOOKUP($C70,'3B.Demographic'!$C$15:$N$414,10,FALSE)</f>
        <v>0</v>
      </c>
      <c r="AF70" s="1475">
        <f>VLOOKUP($C70,'3B.Demographic'!$C$15:$N$414,11,FALSE)</f>
        <v>0</v>
      </c>
      <c r="AG70" s="1229">
        <f>VLOOKUP($C70,'3B.Demographic'!$C$15:$N$414,12,FALSE)</f>
        <v>0</v>
      </c>
    </row>
    <row r="71" spans="1:33" ht="20.100000000000001" customHeight="1">
      <c r="A71" s="217" t="str">
        <f>IF(D71&lt;&gt;"", ' 1A.Prop&amp;Residents'!$B$7, "")</f>
        <v/>
      </c>
      <c r="B71" s="217" t="str">
        <f t="shared" si="0"/>
        <v/>
      </c>
      <c r="C71" s="34">
        <v>57</v>
      </c>
      <c r="D71" s="153"/>
      <c r="E71" s="154"/>
      <c r="F71" s="1775"/>
      <c r="G71" s="155"/>
      <c r="H71" s="156"/>
      <c r="I71" s="154"/>
      <c r="J71" s="157"/>
      <c r="K71" s="156"/>
      <c r="L71" s="154"/>
      <c r="M71" s="609" t="str">
        <f>IF(L71="","",IF(E71="","",IF('1B.TransitionalProg'!$H$8&gt;0,"",VLOOKUP($E71,' 1A.Prop&amp;Residents'!$P$41:$R$47,2,FALSE))))</f>
        <v/>
      </c>
      <c r="N71" s="609" t="str">
        <f>IF(L71="","",IF(E71="","",IF('1B.TransitionalProg'!$H$8&gt;0,"",VLOOKUP($E71,' 1A.Prop&amp;Residents'!$P$41:$R$47,3,FALSE))))</f>
        <v/>
      </c>
      <c r="O71" s="610" t="str">
        <f>IF(L71="", "", IF(E71="", "", IF('1B.TransitionalProg'!$H$8&gt;0,"",IF(L71&lt;M71,"overHOUSED?",IF(L71&gt;N71, "OVERcrowded?","")))))</f>
        <v/>
      </c>
      <c r="P71" s="623"/>
      <c r="Q71" s="154"/>
      <c r="R71" s="154"/>
      <c r="S71" s="156"/>
      <c r="T71" s="156"/>
      <c r="U71" s="156"/>
      <c r="V71" s="156"/>
      <c r="W71" s="1580" t="str">
        <f t="shared" si="1"/>
        <v/>
      </c>
      <c r="X71" s="155"/>
      <c r="Y71" s="156"/>
      <c r="Z71" s="233" t="str">
        <f t="shared" si="2"/>
        <v/>
      </c>
      <c r="AA71" s="1447">
        <f>VLOOKUP($C71,'3B.Demographic'!$C$15:$N$414,6,FALSE)</f>
        <v>0</v>
      </c>
      <c r="AB71" s="1447">
        <f>VLOOKUP($C71,'3B.Demographic'!$C$15:$N$414,7,FALSE)</f>
        <v>0</v>
      </c>
      <c r="AC71" s="1447">
        <f>VLOOKUP($C71,'3B.Demographic'!$C$15:$N$414,8,FALSE)</f>
        <v>0</v>
      </c>
      <c r="AD71" s="1447">
        <f>VLOOKUP($C71,'3B.Demographic'!$C$15:$N$414,9,FALSE)</f>
        <v>0</v>
      </c>
      <c r="AE71" s="1447">
        <f>VLOOKUP($C71,'3B.Demographic'!$C$15:$N$414,10,FALSE)</f>
        <v>0</v>
      </c>
      <c r="AF71" s="1475">
        <f>VLOOKUP($C71,'3B.Demographic'!$C$15:$N$414,11,FALSE)</f>
        <v>0</v>
      </c>
      <c r="AG71" s="1229">
        <f>VLOOKUP($C71,'3B.Demographic'!$C$15:$N$414,12,FALSE)</f>
        <v>0</v>
      </c>
    </row>
    <row r="72" spans="1:33" ht="20.100000000000001" customHeight="1">
      <c r="A72" s="217" t="str">
        <f>IF(D72&lt;&gt;"", ' 1A.Prop&amp;Residents'!$B$7, "")</f>
        <v/>
      </c>
      <c r="B72" s="217" t="str">
        <f t="shared" si="0"/>
        <v/>
      </c>
      <c r="C72" s="34">
        <v>58</v>
      </c>
      <c r="D72" s="153"/>
      <c r="E72" s="154"/>
      <c r="F72" s="1775"/>
      <c r="G72" s="155"/>
      <c r="H72" s="156"/>
      <c r="I72" s="154"/>
      <c r="J72" s="157"/>
      <c r="K72" s="156"/>
      <c r="L72" s="154"/>
      <c r="M72" s="609" t="str">
        <f>IF(L72="","",IF(E72="","",IF('1B.TransitionalProg'!$H$8&gt;0,"",VLOOKUP($E72,' 1A.Prop&amp;Residents'!$P$41:$R$47,2,FALSE))))</f>
        <v/>
      </c>
      <c r="N72" s="609" t="str">
        <f>IF(L72="","",IF(E72="","",IF('1B.TransitionalProg'!$H$8&gt;0,"",VLOOKUP($E72,' 1A.Prop&amp;Residents'!$P$41:$R$47,3,FALSE))))</f>
        <v/>
      </c>
      <c r="O72" s="610" t="str">
        <f>IF(L72="", "", IF(E72="", "", IF('1B.TransitionalProg'!$H$8&gt;0,"",IF(L72&lt;M72,"overHOUSED?",IF(L72&gt;N72, "OVERcrowded?","")))))</f>
        <v/>
      </c>
      <c r="P72" s="623"/>
      <c r="Q72" s="154"/>
      <c r="R72" s="154"/>
      <c r="S72" s="156"/>
      <c r="T72" s="156"/>
      <c r="U72" s="156"/>
      <c r="V72" s="156"/>
      <c r="W72" s="1580" t="str">
        <f t="shared" si="1"/>
        <v/>
      </c>
      <c r="X72" s="155"/>
      <c r="Y72" s="156"/>
      <c r="Z72" s="233" t="str">
        <f t="shared" si="2"/>
        <v/>
      </c>
      <c r="AA72" s="1447">
        <f>VLOOKUP($C72,'3B.Demographic'!$C$15:$N$414,6,FALSE)</f>
        <v>0</v>
      </c>
      <c r="AB72" s="1447">
        <f>VLOOKUP($C72,'3B.Demographic'!$C$15:$N$414,7,FALSE)</f>
        <v>0</v>
      </c>
      <c r="AC72" s="1447">
        <f>VLOOKUP($C72,'3B.Demographic'!$C$15:$N$414,8,FALSE)</f>
        <v>0</v>
      </c>
      <c r="AD72" s="1447">
        <f>VLOOKUP($C72,'3B.Demographic'!$C$15:$N$414,9,FALSE)</f>
        <v>0</v>
      </c>
      <c r="AE72" s="1447">
        <f>VLOOKUP($C72,'3B.Demographic'!$C$15:$N$414,10,FALSE)</f>
        <v>0</v>
      </c>
      <c r="AF72" s="1475">
        <f>VLOOKUP($C72,'3B.Demographic'!$C$15:$N$414,11,FALSE)</f>
        <v>0</v>
      </c>
      <c r="AG72" s="1229">
        <f>VLOOKUP($C72,'3B.Demographic'!$C$15:$N$414,12,FALSE)</f>
        <v>0</v>
      </c>
    </row>
    <row r="73" spans="1:33" ht="20.100000000000001" customHeight="1">
      <c r="A73" s="217" t="str">
        <f>IF(D73&lt;&gt;"", ' 1A.Prop&amp;Residents'!$B$7, "")</f>
        <v/>
      </c>
      <c r="B73" s="217" t="str">
        <f t="shared" si="0"/>
        <v/>
      </c>
      <c r="C73" s="34">
        <v>59</v>
      </c>
      <c r="D73" s="153"/>
      <c r="E73" s="154"/>
      <c r="F73" s="1775"/>
      <c r="G73" s="155"/>
      <c r="H73" s="156"/>
      <c r="I73" s="154"/>
      <c r="J73" s="157"/>
      <c r="K73" s="156"/>
      <c r="L73" s="154"/>
      <c r="M73" s="609" t="str">
        <f>IF(L73="","",IF(E73="","",IF('1B.TransitionalProg'!$H$8&gt;0,"",VLOOKUP($E73,' 1A.Prop&amp;Residents'!$P$41:$R$47,2,FALSE))))</f>
        <v/>
      </c>
      <c r="N73" s="609" t="str">
        <f>IF(L73="","",IF(E73="","",IF('1B.TransitionalProg'!$H$8&gt;0,"",VLOOKUP($E73,' 1A.Prop&amp;Residents'!$P$41:$R$47,3,FALSE))))</f>
        <v/>
      </c>
      <c r="O73" s="610" t="str">
        <f>IF(L73="", "", IF(E73="", "", IF('1B.TransitionalProg'!$H$8&gt;0,"",IF(L73&lt;M73,"overHOUSED?",IF(L73&gt;N73, "OVERcrowded?","")))))</f>
        <v/>
      </c>
      <c r="P73" s="623"/>
      <c r="Q73" s="154"/>
      <c r="R73" s="154"/>
      <c r="S73" s="156"/>
      <c r="T73" s="156"/>
      <c r="U73" s="156"/>
      <c r="V73" s="156"/>
      <c r="W73" s="1580" t="str">
        <f t="shared" si="1"/>
        <v/>
      </c>
      <c r="X73" s="155"/>
      <c r="Y73" s="156"/>
      <c r="Z73" s="233" t="str">
        <f t="shared" si="2"/>
        <v/>
      </c>
      <c r="AA73" s="1447">
        <f>VLOOKUP($C73,'3B.Demographic'!$C$15:$N$414,6,FALSE)</f>
        <v>0</v>
      </c>
      <c r="AB73" s="1447">
        <f>VLOOKUP($C73,'3B.Demographic'!$C$15:$N$414,7,FALSE)</f>
        <v>0</v>
      </c>
      <c r="AC73" s="1447">
        <f>VLOOKUP($C73,'3B.Demographic'!$C$15:$N$414,8,FALSE)</f>
        <v>0</v>
      </c>
      <c r="AD73" s="1447">
        <f>VLOOKUP($C73,'3B.Demographic'!$C$15:$N$414,9,FALSE)</f>
        <v>0</v>
      </c>
      <c r="AE73" s="1447">
        <f>VLOOKUP($C73,'3B.Demographic'!$C$15:$N$414,10,FALSE)</f>
        <v>0</v>
      </c>
      <c r="AF73" s="1475">
        <f>VLOOKUP($C73,'3B.Demographic'!$C$15:$N$414,11,FALSE)</f>
        <v>0</v>
      </c>
      <c r="AG73" s="1229">
        <f>VLOOKUP($C73,'3B.Demographic'!$C$15:$N$414,12,FALSE)</f>
        <v>0</v>
      </c>
    </row>
    <row r="74" spans="1:33" ht="20.100000000000001" customHeight="1">
      <c r="A74" s="217" t="str">
        <f>IF(D74&lt;&gt;"", ' 1A.Prop&amp;Residents'!$B$7, "")</f>
        <v/>
      </c>
      <c r="B74" s="217" t="str">
        <f t="shared" si="0"/>
        <v/>
      </c>
      <c r="C74" s="34">
        <v>60</v>
      </c>
      <c r="D74" s="153"/>
      <c r="E74" s="154"/>
      <c r="F74" s="1775"/>
      <c r="G74" s="155"/>
      <c r="H74" s="156"/>
      <c r="I74" s="154"/>
      <c r="J74" s="157"/>
      <c r="K74" s="156"/>
      <c r="L74" s="154"/>
      <c r="M74" s="609" t="str">
        <f>IF(L74="","",IF(E74="","",IF('1B.TransitionalProg'!$H$8&gt;0,"",VLOOKUP($E74,' 1A.Prop&amp;Residents'!$P$41:$R$47,2,FALSE))))</f>
        <v/>
      </c>
      <c r="N74" s="609" t="str">
        <f>IF(L74="","",IF(E74="","",IF('1B.TransitionalProg'!$H$8&gt;0,"",VLOOKUP($E74,' 1A.Prop&amp;Residents'!$P$41:$R$47,3,FALSE))))</f>
        <v/>
      </c>
      <c r="O74" s="610" t="str">
        <f>IF(L74="", "", IF(E74="", "", IF('1B.TransitionalProg'!$H$8&gt;0,"",IF(L74&lt;M74,"overHOUSED?",IF(L74&gt;N74, "OVERcrowded?","")))))</f>
        <v/>
      </c>
      <c r="P74" s="623"/>
      <c r="Q74" s="154"/>
      <c r="R74" s="154"/>
      <c r="S74" s="156"/>
      <c r="T74" s="156"/>
      <c r="U74" s="156"/>
      <c r="V74" s="156"/>
      <c r="W74" s="1580" t="str">
        <f t="shared" si="1"/>
        <v/>
      </c>
      <c r="X74" s="155"/>
      <c r="Y74" s="156"/>
      <c r="Z74" s="233" t="str">
        <f t="shared" si="2"/>
        <v/>
      </c>
      <c r="AA74" s="1447">
        <f>VLOOKUP($C74,'3B.Demographic'!$C$15:$N$414,6,FALSE)</f>
        <v>0</v>
      </c>
      <c r="AB74" s="1447">
        <f>VLOOKUP($C74,'3B.Demographic'!$C$15:$N$414,7,FALSE)</f>
        <v>0</v>
      </c>
      <c r="AC74" s="1447">
        <f>VLOOKUP($C74,'3B.Demographic'!$C$15:$N$414,8,FALSE)</f>
        <v>0</v>
      </c>
      <c r="AD74" s="1447">
        <f>VLOOKUP($C74,'3B.Demographic'!$C$15:$N$414,9,FALSE)</f>
        <v>0</v>
      </c>
      <c r="AE74" s="1447">
        <f>VLOOKUP($C74,'3B.Demographic'!$C$15:$N$414,10,FALSE)</f>
        <v>0</v>
      </c>
      <c r="AF74" s="1475">
        <f>VLOOKUP($C74,'3B.Demographic'!$C$15:$N$414,11,FALSE)</f>
        <v>0</v>
      </c>
      <c r="AG74" s="1229">
        <f>VLOOKUP($C74,'3B.Demographic'!$C$15:$N$414,12,FALSE)</f>
        <v>0</v>
      </c>
    </row>
    <row r="75" spans="1:33" ht="20.100000000000001" customHeight="1">
      <c r="A75" s="217" t="str">
        <f>IF(D75&lt;&gt;"", ' 1A.Prop&amp;Residents'!$B$7, "")</f>
        <v/>
      </c>
      <c r="B75" s="217" t="str">
        <f t="shared" si="0"/>
        <v/>
      </c>
      <c r="C75" s="34">
        <v>61</v>
      </c>
      <c r="D75" s="153"/>
      <c r="E75" s="154"/>
      <c r="F75" s="1775"/>
      <c r="G75" s="155"/>
      <c r="H75" s="156"/>
      <c r="I75" s="154"/>
      <c r="J75" s="157"/>
      <c r="K75" s="156"/>
      <c r="L75" s="154"/>
      <c r="M75" s="609" t="str">
        <f>IF(L75="","",IF(E75="","",IF('1B.TransitionalProg'!$H$8&gt;0,"",VLOOKUP($E75,' 1A.Prop&amp;Residents'!$P$41:$R$47,2,FALSE))))</f>
        <v/>
      </c>
      <c r="N75" s="609" t="str">
        <f>IF(L75="","",IF(E75="","",IF('1B.TransitionalProg'!$H$8&gt;0,"",VLOOKUP($E75,' 1A.Prop&amp;Residents'!$P$41:$R$47,3,FALSE))))</f>
        <v/>
      </c>
      <c r="O75" s="610" t="str">
        <f>IF(L75="", "", IF(E75="", "", IF('1B.TransitionalProg'!$H$8&gt;0,"",IF(L75&lt;M75,"overHOUSED?",IF(L75&gt;N75, "OVERcrowded?","")))))</f>
        <v/>
      </c>
      <c r="P75" s="623"/>
      <c r="Q75" s="154"/>
      <c r="R75" s="154"/>
      <c r="S75" s="156"/>
      <c r="T75" s="156"/>
      <c r="U75" s="156"/>
      <c r="V75" s="156"/>
      <c r="W75" s="1580" t="str">
        <f t="shared" si="1"/>
        <v/>
      </c>
      <c r="X75" s="155"/>
      <c r="Y75" s="156"/>
      <c r="Z75" s="233" t="str">
        <f t="shared" si="2"/>
        <v/>
      </c>
      <c r="AA75" s="1447">
        <f>VLOOKUP($C75,'3B.Demographic'!$C$15:$N$414,6,FALSE)</f>
        <v>0</v>
      </c>
      <c r="AB75" s="1447">
        <f>VLOOKUP($C75,'3B.Demographic'!$C$15:$N$414,7,FALSE)</f>
        <v>0</v>
      </c>
      <c r="AC75" s="1447">
        <f>VLOOKUP($C75,'3B.Demographic'!$C$15:$N$414,8,FALSE)</f>
        <v>0</v>
      </c>
      <c r="AD75" s="1447">
        <f>VLOOKUP($C75,'3B.Demographic'!$C$15:$N$414,9,FALSE)</f>
        <v>0</v>
      </c>
      <c r="AE75" s="1447">
        <f>VLOOKUP($C75,'3B.Demographic'!$C$15:$N$414,10,FALSE)</f>
        <v>0</v>
      </c>
      <c r="AF75" s="1475">
        <f>VLOOKUP($C75,'3B.Demographic'!$C$15:$N$414,11,FALSE)</f>
        <v>0</v>
      </c>
      <c r="AG75" s="1229">
        <f>VLOOKUP($C75,'3B.Demographic'!$C$15:$N$414,12,FALSE)</f>
        <v>0</v>
      </c>
    </row>
    <row r="76" spans="1:33" ht="20.100000000000001" customHeight="1">
      <c r="A76" s="217" t="str">
        <f>IF(D76&lt;&gt;"", ' 1A.Prop&amp;Residents'!$B$7, "")</f>
        <v/>
      </c>
      <c r="B76" s="217" t="str">
        <f t="shared" si="0"/>
        <v/>
      </c>
      <c r="C76" s="34">
        <v>62</v>
      </c>
      <c r="D76" s="153"/>
      <c r="E76" s="154"/>
      <c r="F76" s="1775"/>
      <c r="G76" s="155"/>
      <c r="H76" s="156"/>
      <c r="I76" s="154"/>
      <c r="J76" s="157"/>
      <c r="K76" s="156"/>
      <c r="L76" s="154"/>
      <c r="M76" s="609" t="str">
        <f>IF(L76="","",IF(E76="","",IF('1B.TransitionalProg'!$H$8&gt;0,"",VLOOKUP($E76,' 1A.Prop&amp;Residents'!$P$41:$R$47,2,FALSE))))</f>
        <v/>
      </c>
      <c r="N76" s="609" t="str">
        <f>IF(L76="","",IF(E76="","",IF('1B.TransitionalProg'!$H$8&gt;0,"",VLOOKUP($E76,' 1A.Prop&amp;Residents'!$P$41:$R$47,3,FALSE))))</f>
        <v/>
      </c>
      <c r="O76" s="610" t="str">
        <f>IF(L76="", "", IF(E76="", "", IF('1B.TransitionalProg'!$H$8&gt;0,"",IF(L76&lt;M76,"overHOUSED?",IF(L76&gt;N76, "OVERcrowded?","")))))</f>
        <v/>
      </c>
      <c r="P76" s="623"/>
      <c r="Q76" s="154"/>
      <c r="R76" s="154"/>
      <c r="S76" s="156"/>
      <c r="T76" s="156"/>
      <c r="U76" s="156"/>
      <c r="V76" s="156"/>
      <c r="W76" s="1580" t="str">
        <f t="shared" si="1"/>
        <v/>
      </c>
      <c r="X76" s="155"/>
      <c r="Y76" s="156"/>
      <c r="Z76" s="233" t="str">
        <f t="shared" si="2"/>
        <v/>
      </c>
      <c r="AA76" s="1447">
        <f>VLOOKUP($C76,'3B.Demographic'!$C$15:$N$414,6,FALSE)</f>
        <v>0</v>
      </c>
      <c r="AB76" s="1447">
        <f>VLOOKUP($C76,'3B.Demographic'!$C$15:$N$414,7,FALSE)</f>
        <v>0</v>
      </c>
      <c r="AC76" s="1447">
        <f>VLOOKUP($C76,'3B.Demographic'!$C$15:$N$414,8,FALSE)</f>
        <v>0</v>
      </c>
      <c r="AD76" s="1447">
        <f>VLOOKUP($C76,'3B.Demographic'!$C$15:$N$414,9,FALSE)</f>
        <v>0</v>
      </c>
      <c r="AE76" s="1447">
        <f>VLOOKUP($C76,'3B.Demographic'!$C$15:$N$414,10,FALSE)</f>
        <v>0</v>
      </c>
      <c r="AF76" s="1475">
        <f>VLOOKUP($C76,'3B.Demographic'!$C$15:$N$414,11,FALSE)</f>
        <v>0</v>
      </c>
      <c r="AG76" s="1229">
        <f>VLOOKUP($C76,'3B.Demographic'!$C$15:$N$414,12,FALSE)</f>
        <v>0</v>
      </c>
    </row>
    <row r="77" spans="1:33" ht="20.100000000000001" customHeight="1">
      <c r="A77" s="217" t="str">
        <f>IF(D77&lt;&gt;"", ' 1A.Prop&amp;Residents'!$B$7, "")</f>
        <v/>
      </c>
      <c r="B77" s="217" t="str">
        <f t="shared" si="0"/>
        <v/>
      </c>
      <c r="C77" s="34">
        <v>63</v>
      </c>
      <c r="D77" s="153"/>
      <c r="E77" s="154"/>
      <c r="F77" s="1775"/>
      <c r="G77" s="155"/>
      <c r="H77" s="156"/>
      <c r="I77" s="154"/>
      <c r="J77" s="157"/>
      <c r="K77" s="156"/>
      <c r="L77" s="154"/>
      <c r="M77" s="609" t="str">
        <f>IF(L77="","",IF(E77="","",IF('1B.TransitionalProg'!$H$8&gt;0,"",VLOOKUP($E77,' 1A.Prop&amp;Residents'!$P$41:$R$47,2,FALSE))))</f>
        <v/>
      </c>
      <c r="N77" s="609" t="str">
        <f>IF(L77="","",IF(E77="","",IF('1B.TransitionalProg'!$H$8&gt;0,"",VLOOKUP($E77,' 1A.Prop&amp;Residents'!$P$41:$R$47,3,FALSE))))</f>
        <v/>
      </c>
      <c r="O77" s="610" t="str">
        <f>IF(L77="", "", IF(E77="", "", IF('1B.TransitionalProg'!$H$8&gt;0,"",IF(L77&lt;M77,"overHOUSED?",IF(L77&gt;N77, "OVERcrowded?","")))))</f>
        <v/>
      </c>
      <c r="P77" s="623"/>
      <c r="Q77" s="154"/>
      <c r="R77" s="154"/>
      <c r="S77" s="156"/>
      <c r="T77" s="156"/>
      <c r="U77" s="156"/>
      <c r="V77" s="156"/>
      <c r="W77" s="1580" t="str">
        <f t="shared" si="1"/>
        <v/>
      </c>
      <c r="X77" s="155"/>
      <c r="Y77" s="156"/>
      <c r="Z77" s="233" t="str">
        <f t="shared" si="2"/>
        <v/>
      </c>
      <c r="AA77" s="1447">
        <f>VLOOKUP($C77,'3B.Demographic'!$C$15:$N$414,6,FALSE)</f>
        <v>0</v>
      </c>
      <c r="AB77" s="1447">
        <f>VLOOKUP($C77,'3B.Demographic'!$C$15:$N$414,7,FALSE)</f>
        <v>0</v>
      </c>
      <c r="AC77" s="1447">
        <f>VLOOKUP($C77,'3B.Demographic'!$C$15:$N$414,8,FALSE)</f>
        <v>0</v>
      </c>
      <c r="AD77" s="1447">
        <f>VLOOKUP($C77,'3B.Demographic'!$C$15:$N$414,9,FALSE)</f>
        <v>0</v>
      </c>
      <c r="AE77" s="1447">
        <f>VLOOKUP($C77,'3B.Demographic'!$C$15:$N$414,10,FALSE)</f>
        <v>0</v>
      </c>
      <c r="AF77" s="1475">
        <f>VLOOKUP($C77,'3B.Demographic'!$C$15:$N$414,11,FALSE)</f>
        <v>0</v>
      </c>
      <c r="AG77" s="1229">
        <f>VLOOKUP($C77,'3B.Demographic'!$C$15:$N$414,12,FALSE)</f>
        <v>0</v>
      </c>
    </row>
    <row r="78" spans="1:33" ht="20.100000000000001" customHeight="1">
      <c r="A78" s="217" t="str">
        <f>IF(D78&lt;&gt;"", ' 1A.Prop&amp;Residents'!$B$7, "")</f>
        <v/>
      </c>
      <c r="B78" s="217" t="str">
        <f t="shared" si="0"/>
        <v/>
      </c>
      <c r="C78" s="34">
        <v>64</v>
      </c>
      <c r="D78" s="153"/>
      <c r="E78" s="154"/>
      <c r="F78" s="1775"/>
      <c r="G78" s="155"/>
      <c r="H78" s="156"/>
      <c r="I78" s="154"/>
      <c r="J78" s="157"/>
      <c r="K78" s="156"/>
      <c r="L78" s="154"/>
      <c r="M78" s="609" t="str">
        <f>IF(L78="","",IF(E78="","",IF('1B.TransitionalProg'!$H$8&gt;0,"",VLOOKUP($E78,' 1A.Prop&amp;Residents'!$P$41:$R$47,2,FALSE))))</f>
        <v/>
      </c>
      <c r="N78" s="609" t="str">
        <f>IF(L78="","",IF(E78="","",IF('1B.TransitionalProg'!$H$8&gt;0,"",VLOOKUP($E78,' 1A.Prop&amp;Residents'!$P$41:$R$47,3,FALSE))))</f>
        <v/>
      </c>
      <c r="O78" s="610" t="str">
        <f>IF(L78="", "", IF(E78="", "", IF('1B.TransitionalProg'!$H$8&gt;0,"",IF(L78&lt;M78,"overHOUSED?",IF(L78&gt;N78, "OVERcrowded?","")))))</f>
        <v/>
      </c>
      <c r="P78" s="623"/>
      <c r="Q78" s="154"/>
      <c r="R78" s="154"/>
      <c r="S78" s="156"/>
      <c r="T78" s="156"/>
      <c r="U78" s="156"/>
      <c r="V78" s="156"/>
      <c r="W78" s="1580" t="str">
        <f t="shared" si="1"/>
        <v/>
      </c>
      <c r="X78" s="155"/>
      <c r="Y78" s="156"/>
      <c r="Z78" s="233" t="str">
        <f t="shared" si="2"/>
        <v/>
      </c>
      <c r="AA78" s="1447">
        <f>VLOOKUP($C78,'3B.Demographic'!$C$15:$N$414,6,FALSE)</f>
        <v>0</v>
      </c>
      <c r="AB78" s="1447">
        <f>VLOOKUP($C78,'3B.Demographic'!$C$15:$N$414,7,FALSE)</f>
        <v>0</v>
      </c>
      <c r="AC78" s="1447">
        <f>VLOOKUP($C78,'3B.Demographic'!$C$15:$N$414,8,FALSE)</f>
        <v>0</v>
      </c>
      <c r="AD78" s="1447">
        <f>VLOOKUP($C78,'3B.Demographic'!$C$15:$N$414,9,FALSE)</f>
        <v>0</v>
      </c>
      <c r="AE78" s="1447">
        <f>VLOOKUP($C78,'3B.Demographic'!$C$15:$N$414,10,FALSE)</f>
        <v>0</v>
      </c>
      <c r="AF78" s="1475">
        <f>VLOOKUP($C78,'3B.Demographic'!$C$15:$N$414,11,FALSE)</f>
        <v>0</v>
      </c>
      <c r="AG78" s="1229">
        <f>VLOOKUP($C78,'3B.Demographic'!$C$15:$N$414,12,FALSE)</f>
        <v>0</v>
      </c>
    </row>
    <row r="79" spans="1:33" ht="20.100000000000001" customHeight="1">
      <c r="A79" s="217" t="str">
        <f>IF(D79&lt;&gt;"", ' 1A.Prop&amp;Residents'!$B$7, "")</f>
        <v/>
      </c>
      <c r="B79" s="217" t="str">
        <f t="shared" si="0"/>
        <v/>
      </c>
      <c r="C79" s="34">
        <v>65</v>
      </c>
      <c r="D79" s="153"/>
      <c r="E79" s="154"/>
      <c r="F79" s="1775"/>
      <c r="G79" s="155"/>
      <c r="H79" s="156"/>
      <c r="I79" s="154"/>
      <c r="J79" s="157"/>
      <c r="K79" s="156"/>
      <c r="L79" s="154"/>
      <c r="M79" s="609" t="str">
        <f>IF(L79="","",IF(E79="","",IF('1B.TransitionalProg'!$H$8&gt;0,"",VLOOKUP($E79,' 1A.Prop&amp;Residents'!$P$41:$R$47,2,FALSE))))</f>
        <v/>
      </c>
      <c r="N79" s="609" t="str">
        <f>IF(L79="","",IF(E79="","",IF('1B.TransitionalProg'!$H$8&gt;0,"",VLOOKUP($E79,' 1A.Prop&amp;Residents'!$P$41:$R$47,3,FALSE))))</f>
        <v/>
      </c>
      <c r="O79" s="610" t="str">
        <f>IF(L79="", "", IF(E79="", "", IF('1B.TransitionalProg'!$H$8&gt;0,"",IF(L79&lt;M79,"overHOUSED?",IF(L79&gt;N79, "OVERcrowded?","")))))</f>
        <v/>
      </c>
      <c r="P79" s="623"/>
      <c r="Q79" s="154"/>
      <c r="R79" s="154"/>
      <c r="S79" s="156"/>
      <c r="T79" s="156"/>
      <c r="U79" s="156"/>
      <c r="V79" s="156"/>
      <c r="W79" s="1580" t="str">
        <f t="shared" si="1"/>
        <v/>
      </c>
      <c r="X79" s="155"/>
      <c r="Y79" s="156"/>
      <c r="Z79" s="233" t="str">
        <f t="shared" si="2"/>
        <v/>
      </c>
      <c r="AA79" s="1447">
        <f>VLOOKUP($C79,'3B.Demographic'!$C$15:$N$414,6,FALSE)</f>
        <v>0</v>
      </c>
      <c r="AB79" s="1447">
        <f>VLOOKUP($C79,'3B.Demographic'!$C$15:$N$414,7,FALSE)</f>
        <v>0</v>
      </c>
      <c r="AC79" s="1447">
        <f>VLOOKUP($C79,'3B.Demographic'!$C$15:$N$414,8,FALSE)</f>
        <v>0</v>
      </c>
      <c r="AD79" s="1447">
        <f>VLOOKUP($C79,'3B.Demographic'!$C$15:$N$414,9,FALSE)</f>
        <v>0</v>
      </c>
      <c r="AE79" s="1447">
        <f>VLOOKUP($C79,'3B.Demographic'!$C$15:$N$414,10,FALSE)</f>
        <v>0</v>
      </c>
      <c r="AF79" s="1475">
        <f>VLOOKUP($C79,'3B.Demographic'!$C$15:$N$414,11,FALSE)</f>
        <v>0</v>
      </c>
      <c r="AG79" s="1229">
        <f>VLOOKUP($C79,'3B.Demographic'!$C$15:$N$414,12,FALSE)</f>
        <v>0</v>
      </c>
    </row>
    <row r="80" spans="1:33" ht="20.100000000000001" customHeight="1">
      <c r="A80" s="217" t="str">
        <f>IF(D80&lt;&gt;"", ' 1A.Prop&amp;Residents'!$B$7, "")</f>
        <v/>
      </c>
      <c r="B80" s="217" t="str">
        <f t="shared" si="0"/>
        <v/>
      </c>
      <c r="C80" s="34">
        <v>66</v>
      </c>
      <c r="D80" s="153"/>
      <c r="E80" s="154"/>
      <c r="F80" s="1775"/>
      <c r="G80" s="155"/>
      <c r="H80" s="156"/>
      <c r="I80" s="154"/>
      <c r="J80" s="157"/>
      <c r="K80" s="156"/>
      <c r="L80" s="154"/>
      <c r="M80" s="609" t="str">
        <f>IF(L80="","",IF(E80="","",IF('1B.TransitionalProg'!$H$8&gt;0,"",VLOOKUP($E80,' 1A.Prop&amp;Residents'!$P$41:$R$47,2,FALSE))))</f>
        <v/>
      </c>
      <c r="N80" s="609" t="str">
        <f>IF(L80="","",IF(E80="","",IF('1B.TransitionalProg'!$H$8&gt;0,"",VLOOKUP($E80,' 1A.Prop&amp;Residents'!$P$41:$R$47,3,FALSE))))</f>
        <v/>
      </c>
      <c r="O80" s="610" t="str">
        <f>IF(L80="", "", IF(E80="", "", IF('1B.TransitionalProg'!$H$8&gt;0,"",IF(L80&lt;M80,"overHOUSED?",IF(L80&gt;N80, "OVERcrowded?","")))))</f>
        <v/>
      </c>
      <c r="P80" s="623"/>
      <c r="Q80" s="154"/>
      <c r="R80" s="154"/>
      <c r="S80" s="156"/>
      <c r="T80" s="156"/>
      <c r="U80" s="156"/>
      <c r="V80" s="156"/>
      <c r="W80" s="1580" t="str">
        <f t="shared" ref="W80:W143" si="3">IF(U80&gt;0, IF(K80&gt;0, (U80+V80)*12/K80, ""),"")</f>
        <v/>
      </c>
      <c r="X80" s="155"/>
      <c r="Y80" s="156"/>
      <c r="Z80" s="233" t="str">
        <f t="shared" ref="Z80:Z143" si="4">IF(Y80="", "", IF(U80-Y80=0,"",IF(V80&gt;0,  Y80/(U80+V80-Y80),Y80/(U80-Y80))))</f>
        <v/>
      </c>
      <c r="AA80" s="1447">
        <f>VLOOKUP($C80,'3B.Demographic'!$C$15:$N$414,6,FALSE)</f>
        <v>0</v>
      </c>
      <c r="AB80" s="1447">
        <f>VLOOKUP($C80,'3B.Demographic'!$C$15:$N$414,7,FALSE)</f>
        <v>0</v>
      </c>
      <c r="AC80" s="1447">
        <f>VLOOKUP($C80,'3B.Demographic'!$C$15:$N$414,8,FALSE)</f>
        <v>0</v>
      </c>
      <c r="AD80" s="1447">
        <f>VLOOKUP($C80,'3B.Demographic'!$C$15:$N$414,9,FALSE)</f>
        <v>0</v>
      </c>
      <c r="AE80" s="1447">
        <f>VLOOKUP($C80,'3B.Demographic'!$C$15:$N$414,10,FALSE)</f>
        <v>0</v>
      </c>
      <c r="AF80" s="1475">
        <f>VLOOKUP($C80,'3B.Demographic'!$C$15:$N$414,11,FALSE)</f>
        <v>0</v>
      </c>
      <c r="AG80" s="1229">
        <f>VLOOKUP($C80,'3B.Demographic'!$C$15:$N$414,12,FALSE)</f>
        <v>0</v>
      </c>
    </row>
    <row r="81" spans="1:33" ht="20.100000000000001" customHeight="1">
      <c r="A81" s="217" t="str">
        <f>IF(D81&lt;&gt;"", ' 1A.Prop&amp;Residents'!$B$7, "")</f>
        <v/>
      </c>
      <c r="B81" s="217" t="str">
        <f t="shared" ref="B81:B144" si="5">IF(D81&lt;&gt;"", B$15, "")</f>
        <v/>
      </c>
      <c r="C81" s="34">
        <v>67</v>
      </c>
      <c r="D81" s="153"/>
      <c r="E81" s="154"/>
      <c r="F81" s="1775"/>
      <c r="G81" s="155"/>
      <c r="H81" s="156"/>
      <c r="I81" s="154"/>
      <c r="J81" s="157"/>
      <c r="K81" s="156"/>
      <c r="L81" s="154"/>
      <c r="M81" s="609" t="str">
        <f>IF(L81="","",IF(E81="","",IF('1B.TransitionalProg'!$H$8&gt;0,"",VLOOKUP($E81,' 1A.Prop&amp;Residents'!$P$41:$R$47,2,FALSE))))</f>
        <v/>
      </c>
      <c r="N81" s="609" t="str">
        <f>IF(L81="","",IF(E81="","",IF('1B.TransitionalProg'!$H$8&gt;0,"",VLOOKUP($E81,' 1A.Prop&amp;Residents'!$P$41:$R$47,3,FALSE))))</f>
        <v/>
      </c>
      <c r="O81" s="610" t="str">
        <f>IF(L81="", "", IF(E81="", "", IF('1B.TransitionalProg'!$H$8&gt;0,"",IF(L81&lt;M81,"overHOUSED?",IF(L81&gt;N81, "OVERcrowded?","")))))</f>
        <v/>
      </c>
      <c r="P81" s="623"/>
      <c r="Q81" s="154"/>
      <c r="R81" s="154"/>
      <c r="S81" s="156"/>
      <c r="T81" s="156"/>
      <c r="U81" s="156"/>
      <c r="V81" s="156"/>
      <c r="W81" s="1580" t="str">
        <f t="shared" si="3"/>
        <v/>
      </c>
      <c r="X81" s="155"/>
      <c r="Y81" s="156"/>
      <c r="Z81" s="233" t="str">
        <f t="shared" si="4"/>
        <v/>
      </c>
      <c r="AA81" s="1447">
        <f>VLOOKUP($C81,'3B.Demographic'!$C$15:$N$414,6,FALSE)</f>
        <v>0</v>
      </c>
      <c r="AB81" s="1447">
        <f>VLOOKUP($C81,'3B.Demographic'!$C$15:$N$414,7,FALSE)</f>
        <v>0</v>
      </c>
      <c r="AC81" s="1447">
        <f>VLOOKUP($C81,'3B.Demographic'!$C$15:$N$414,8,FALSE)</f>
        <v>0</v>
      </c>
      <c r="AD81" s="1447">
        <f>VLOOKUP($C81,'3B.Demographic'!$C$15:$N$414,9,FALSE)</f>
        <v>0</v>
      </c>
      <c r="AE81" s="1447">
        <f>VLOOKUP($C81,'3B.Demographic'!$C$15:$N$414,10,FALSE)</f>
        <v>0</v>
      </c>
      <c r="AF81" s="1475">
        <f>VLOOKUP($C81,'3B.Demographic'!$C$15:$N$414,11,FALSE)</f>
        <v>0</v>
      </c>
      <c r="AG81" s="1229">
        <f>VLOOKUP($C81,'3B.Demographic'!$C$15:$N$414,12,FALSE)</f>
        <v>0</v>
      </c>
    </row>
    <row r="82" spans="1:33" ht="20.100000000000001" customHeight="1">
      <c r="A82" s="217" t="str">
        <f>IF(D82&lt;&gt;"", ' 1A.Prop&amp;Residents'!$B$7, "")</f>
        <v/>
      </c>
      <c r="B82" s="217" t="str">
        <f t="shared" si="5"/>
        <v/>
      </c>
      <c r="C82" s="34">
        <v>68</v>
      </c>
      <c r="D82" s="153"/>
      <c r="E82" s="154"/>
      <c r="F82" s="1775"/>
      <c r="G82" s="155"/>
      <c r="H82" s="156"/>
      <c r="I82" s="154"/>
      <c r="J82" s="157"/>
      <c r="K82" s="156"/>
      <c r="L82" s="154"/>
      <c r="M82" s="609" t="str">
        <f>IF(L82="","",IF(E82="","",IF('1B.TransitionalProg'!$H$8&gt;0,"",VLOOKUP($E82,' 1A.Prop&amp;Residents'!$P$41:$R$47,2,FALSE))))</f>
        <v/>
      </c>
      <c r="N82" s="609" t="str">
        <f>IF(L82="","",IF(E82="","",IF('1B.TransitionalProg'!$H$8&gt;0,"",VLOOKUP($E82,' 1A.Prop&amp;Residents'!$P$41:$R$47,3,FALSE))))</f>
        <v/>
      </c>
      <c r="O82" s="610" t="str">
        <f>IF(L82="", "", IF(E82="", "", IF('1B.TransitionalProg'!$H$8&gt;0,"",IF(L82&lt;M82,"overHOUSED?",IF(L82&gt;N82, "OVERcrowded?","")))))</f>
        <v/>
      </c>
      <c r="P82" s="623"/>
      <c r="Q82" s="154"/>
      <c r="R82" s="154"/>
      <c r="S82" s="156"/>
      <c r="T82" s="156"/>
      <c r="U82" s="156"/>
      <c r="V82" s="156"/>
      <c r="W82" s="1580" t="str">
        <f t="shared" si="3"/>
        <v/>
      </c>
      <c r="X82" s="155"/>
      <c r="Y82" s="156"/>
      <c r="Z82" s="233" t="str">
        <f t="shared" si="4"/>
        <v/>
      </c>
      <c r="AA82" s="1447">
        <f>VLOOKUP($C82,'3B.Demographic'!$C$15:$N$414,6,FALSE)</f>
        <v>0</v>
      </c>
      <c r="AB82" s="1447">
        <f>VLOOKUP($C82,'3B.Demographic'!$C$15:$N$414,7,FALSE)</f>
        <v>0</v>
      </c>
      <c r="AC82" s="1447">
        <f>VLOOKUP($C82,'3B.Demographic'!$C$15:$N$414,8,FALSE)</f>
        <v>0</v>
      </c>
      <c r="AD82" s="1447">
        <f>VLOOKUP($C82,'3B.Demographic'!$C$15:$N$414,9,FALSE)</f>
        <v>0</v>
      </c>
      <c r="AE82" s="1447">
        <f>VLOOKUP($C82,'3B.Demographic'!$C$15:$N$414,10,FALSE)</f>
        <v>0</v>
      </c>
      <c r="AF82" s="1475">
        <f>VLOOKUP($C82,'3B.Demographic'!$C$15:$N$414,11,FALSE)</f>
        <v>0</v>
      </c>
      <c r="AG82" s="1229">
        <f>VLOOKUP($C82,'3B.Demographic'!$C$15:$N$414,12,FALSE)</f>
        <v>0</v>
      </c>
    </row>
    <row r="83" spans="1:33" ht="20.100000000000001" customHeight="1">
      <c r="A83" s="217" t="str">
        <f>IF(D83&lt;&gt;"", ' 1A.Prop&amp;Residents'!$B$7, "")</f>
        <v/>
      </c>
      <c r="B83" s="217" t="str">
        <f t="shared" si="5"/>
        <v/>
      </c>
      <c r="C83" s="34">
        <v>69</v>
      </c>
      <c r="D83" s="153"/>
      <c r="E83" s="154"/>
      <c r="F83" s="1775"/>
      <c r="G83" s="155"/>
      <c r="H83" s="156"/>
      <c r="I83" s="154"/>
      <c r="J83" s="157"/>
      <c r="K83" s="156"/>
      <c r="L83" s="154"/>
      <c r="M83" s="609" t="str">
        <f>IF(L83="","",IF(E83="","",IF('1B.TransitionalProg'!$H$8&gt;0,"",VLOOKUP($E83,' 1A.Prop&amp;Residents'!$P$41:$R$47,2,FALSE))))</f>
        <v/>
      </c>
      <c r="N83" s="609" t="str">
        <f>IF(L83="","",IF(E83="","",IF('1B.TransitionalProg'!$H$8&gt;0,"",VLOOKUP($E83,' 1A.Prop&amp;Residents'!$P$41:$R$47,3,FALSE))))</f>
        <v/>
      </c>
      <c r="O83" s="610" t="str">
        <f>IF(L83="", "", IF(E83="", "", IF('1B.TransitionalProg'!$H$8&gt;0,"",IF(L83&lt;M83,"overHOUSED?",IF(L83&gt;N83, "OVERcrowded?","")))))</f>
        <v/>
      </c>
      <c r="P83" s="623"/>
      <c r="Q83" s="154"/>
      <c r="R83" s="154"/>
      <c r="S83" s="156"/>
      <c r="T83" s="156"/>
      <c r="U83" s="156"/>
      <c r="V83" s="156"/>
      <c r="W83" s="1580" t="str">
        <f t="shared" si="3"/>
        <v/>
      </c>
      <c r="X83" s="155"/>
      <c r="Y83" s="156"/>
      <c r="Z83" s="233" t="str">
        <f t="shared" si="4"/>
        <v/>
      </c>
      <c r="AA83" s="1447">
        <f>VLOOKUP($C83,'3B.Demographic'!$C$15:$N$414,6,FALSE)</f>
        <v>0</v>
      </c>
      <c r="AB83" s="1447">
        <f>VLOOKUP($C83,'3B.Demographic'!$C$15:$N$414,7,FALSE)</f>
        <v>0</v>
      </c>
      <c r="AC83" s="1447">
        <f>VLOOKUP($C83,'3B.Demographic'!$C$15:$N$414,8,FALSE)</f>
        <v>0</v>
      </c>
      <c r="AD83" s="1447">
        <f>VLOOKUP($C83,'3B.Demographic'!$C$15:$N$414,9,FALSE)</f>
        <v>0</v>
      </c>
      <c r="AE83" s="1447">
        <f>VLOOKUP($C83,'3B.Demographic'!$C$15:$N$414,10,FALSE)</f>
        <v>0</v>
      </c>
      <c r="AF83" s="1475">
        <f>VLOOKUP($C83,'3B.Demographic'!$C$15:$N$414,11,FALSE)</f>
        <v>0</v>
      </c>
      <c r="AG83" s="1229">
        <f>VLOOKUP($C83,'3B.Demographic'!$C$15:$N$414,12,FALSE)</f>
        <v>0</v>
      </c>
    </row>
    <row r="84" spans="1:33" ht="20.100000000000001" customHeight="1">
      <c r="A84" s="217" t="str">
        <f>IF(D84&lt;&gt;"", ' 1A.Prop&amp;Residents'!$B$7, "")</f>
        <v/>
      </c>
      <c r="B84" s="217" t="str">
        <f t="shared" si="5"/>
        <v/>
      </c>
      <c r="C84" s="34">
        <v>70</v>
      </c>
      <c r="D84" s="153"/>
      <c r="E84" s="154"/>
      <c r="F84" s="1775"/>
      <c r="G84" s="155"/>
      <c r="H84" s="156"/>
      <c r="I84" s="154"/>
      <c r="J84" s="157"/>
      <c r="K84" s="156"/>
      <c r="L84" s="154"/>
      <c r="M84" s="609" t="str">
        <f>IF(L84="","",IF(E84="","",IF('1B.TransitionalProg'!$H$8&gt;0,"",VLOOKUP($E84,' 1A.Prop&amp;Residents'!$P$41:$R$47,2,FALSE))))</f>
        <v/>
      </c>
      <c r="N84" s="609" t="str">
        <f>IF(L84="","",IF(E84="","",IF('1B.TransitionalProg'!$H$8&gt;0,"",VLOOKUP($E84,' 1A.Prop&amp;Residents'!$P$41:$R$47,3,FALSE))))</f>
        <v/>
      </c>
      <c r="O84" s="610" t="str">
        <f>IF(L84="", "", IF(E84="", "", IF('1B.TransitionalProg'!$H$8&gt;0,"",IF(L84&lt;M84,"overHOUSED?",IF(L84&gt;N84, "OVERcrowded?","")))))</f>
        <v/>
      </c>
      <c r="P84" s="623"/>
      <c r="Q84" s="154"/>
      <c r="R84" s="154"/>
      <c r="S84" s="156"/>
      <c r="T84" s="156"/>
      <c r="U84" s="156"/>
      <c r="V84" s="156"/>
      <c r="W84" s="1580" t="str">
        <f t="shared" si="3"/>
        <v/>
      </c>
      <c r="X84" s="155"/>
      <c r="Y84" s="156"/>
      <c r="Z84" s="233" t="str">
        <f t="shared" si="4"/>
        <v/>
      </c>
      <c r="AA84" s="1447">
        <f>VLOOKUP($C84,'3B.Demographic'!$C$15:$N$414,6,FALSE)</f>
        <v>0</v>
      </c>
      <c r="AB84" s="1447">
        <f>VLOOKUP($C84,'3B.Demographic'!$C$15:$N$414,7,FALSE)</f>
        <v>0</v>
      </c>
      <c r="AC84" s="1447">
        <f>VLOOKUP($C84,'3B.Demographic'!$C$15:$N$414,8,FALSE)</f>
        <v>0</v>
      </c>
      <c r="AD84" s="1447">
        <f>VLOOKUP($C84,'3B.Demographic'!$C$15:$N$414,9,FALSE)</f>
        <v>0</v>
      </c>
      <c r="AE84" s="1447">
        <f>VLOOKUP($C84,'3B.Demographic'!$C$15:$N$414,10,FALSE)</f>
        <v>0</v>
      </c>
      <c r="AF84" s="1475">
        <f>VLOOKUP($C84,'3B.Demographic'!$C$15:$N$414,11,FALSE)</f>
        <v>0</v>
      </c>
      <c r="AG84" s="1229">
        <f>VLOOKUP($C84,'3B.Demographic'!$C$15:$N$414,12,FALSE)</f>
        <v>0</v>
      </c>
    </row>
    <row r="85" spans="1:33" ht="20.100000000000001" customHeight="1">
      <c r="A85" s="217" t="str">
        <f>IF(D85&lt;&gt;"", ' 1A.Prop&amp;Residents'!$B$7, "")</f>
        <v/>
      </c>
      <c r="B85" s="217" t="str">
        <f t="shared" si="5"/>
        <v/>
      </c>
      <c r="C85" s="34">
        <v>71</v>
      </c>
      <c r="D85" s="153"/>
      <c r="E85" s="154"/>
      <c r="F85" s="1775"/>
      <c r="G85" s="155"/>
      <c r="H85" s="156"/>
      <c r="I85" s="154"/>
      <c r="J85" s="157"/>
      <c r="K85" s="156"/>
      <c r="L85" s="154"/>
      <c r="M85" s="609" t="str">
        <f>IF(L85="","",IF(E85="","",IF('1B.TransitionalProg'!$H$8&gt;0,"",VLOOKUP($E85,' 1A.Prop&amp;Residents'!$P$41:$R$47,2,FALSE))))</f>
        <v/>
      </c>
      <c r="N85" s="609" t="str">
        <f>IF(L85="","",IF(E85="","",IF('1B.TransitionalProg'!$H$8&gt;0,"",VLOOKUP($E85,' 1A.Prop&amp;Residents'!$P$41:$R$47,3,FALSE))))</f>
        <v/>
      </c>
      <c r="O85" s="610" t="str">
        <f>IF(L85="", "", IF(E85="", "", IF('1B.TransitionalProg'!$H$8&gt;0,"",IF(L85&lt;M85,"overHOUSED?",IF(L85&gt;N85, "OVERcrowded?","")))))</f>
        <v/>
      </c>
      <c r="P85" s="623"/>
      <c r="Q85" s="154"/>
      <c r="R85" s="154"/>
      <c r="S85" s="156"/>
      <c r="T85" s="156"/>
      <c r="U85" s="156"/>
      <c r="V85" s="156"/>
      <c r="W85" s="1580" t="str">
        <f t="shared" si="3"/>
        <v/>
      </c>
      <c r="X85" s="155"/>
      <c r="Y85" s="156"/>
      <c r="Z85" s="233" t="str">
        <f t="shared" si="4"/>
        <v/>
      </c>
      <c r="AA85" s="1447">
        <f>VLOOKUP($C85,'3B.Demographic'!$C$15:$N$414,6,FALSE)</f>
        <v>0</v>
      </c>
      <c r="AB85" s="1447">
        <f>VLOOKUP($C85,'3B.Demographic'!$C$15:$N$414,7,FALSE)</f>
        <v>0</v>
      </c>
      <c r="AC85" s="1447">
        <f>VLOOKUP($C85,'3B.Demographic'!$C$15:$N$414,8,FALSE)</f>
        <v>0</v>
      </c>
      <c r="AD85" s="1447">
        <f>VLOOKUP($C85,'3B.Demographic'!$C$15:$N$414,9,FALSE)</f>
        <v>0</v>
      </c>
      <c r="AE85" s="1447">
        <f>VLOOKUP($C85,'3B.Demographic'!$C$15:$N$414,10,FALSE)</f>
        <v>0</v>
      </c>
      <c r="AF85" s="1475">
        <f>VLOOKUP($C85,'3B.Demographic'!$C$15:$N$414,11,FALSE)</f>
        <v>0</v>
      </c>
      <c r="AG85" s="1229">
        <f>VLOOKUP($C85,'3B.Demographic'!$C$15:$N$414,12,FALSE)</f>
        <v>0</v>
      </c>
    </row>
    <row r="86" spans="1:33" ht="20.100000000000001" customHeight="1">
      <c r="A86" s="217" t="str">
        <f>IF(D86&lt;&gt;"", ' 1A.Prop&amp;Residents'!$B$7, "")</f>
        <v/>
      </c>
      <c r="B86" s="217" t="str">
        <f t="shared" si="5"/>
        <v/>
      </c>
      <c r="C86" s="34">
        <v>72</v>
      </c>
      <c r="D86" s="153"/>
      <c r="E86" s="154"/>
      <c r="F86" s="1775"/>
      <c r="G86" s="155"/>
      <c r="H86" s="156"/>
      <c r="I86" s="154"/>
      <c r="J86" s="157"/>
      <c r="K86" s="156"/>
      <c r="L86" s="154"/>
      <c r="M86" s="609" t="str">
        <f>IF(L86="","",IF(E86="","",IF('1B.TransitionalProg'!$H$8&gt;0,"",VLOOKUP($E86,' 1A.Prop&amp;Residents'!$P$41:$R$47,2,FALSE))))</f>
        <v/>
      </c>
      <c r="N86" s="609" t="str">
        <f>IF(L86="","",IF(E86="","",IF('1B.TransitionalProg'!$H$8&gt;0,"",VLOOKUP($E86,' 1A.Prop&amp;Residents'!$P$41:$R$47,3,FALSE))))</f>
        <v/>
      </c>
      <c r="O86" s="610" t="str">
        <f>IF(L86="", "", IF(E86="", "", IF('1B.TransitionalProg'!$H$8&gt;0,"",IF(L86&lt;M86,"overHOUSED?",IF(L86&gt;N86, "OVERcrowded?","")))))</f>
        <v/>
      </c>
      <c r="P86" s="623"/>
      <c r="Q86" s="154"/>
      <c r="R86" s="154"/>
      <c r="S86" s="156"/>
      <c r="T86" s="156"/>
      <c r="U86" s="156"/>
      <c r="V86" s="156"/>
      <c r="W86" s="1580" t="str">
        <f t="shared" si="3"/>
        <v/>
      </c>
      <c r="X86" s="155"/>
      <c r="Y86" s="156"/>
      <c r="Z86" s="233" t="str">
        <f t="shared" si="4"/>
        <v/>
      </c>
      <c r="AA86" s="1447">
        <f>VLOOKUP($C86,'3B.Demographic'!$C$15:$N$414,6,FALSE)</f>
        <v>0</v>
      </c>
      <c r="AB86" s="1447">
        <f>VLOOKUP($C86,'3B.Demographic'!$C$15:$N$414,7,FALSE)</f>
        <v>0</v>
      </c>
      <c r="AC86" s="1447">
        <f>VLOOKUP($C86,'3B.Demographic'!$C$15:$N$414,8,FALSE)</f>
        <v>0</v>
      </c>
      <c r="AD86" s="1447">
        <f>VLOOKUP($C86,'3B.Demographic'!$C$15:$N$414,9,FALSE)</f>
        <v>0</v>
      </c>
      <c r="AE86" s="1447">
        <f>VLOOKUP($C86,'3B.Demographic'!$C$15:$N$414,10,FALSE)</f>
        <v>0</v>
      </c>
      <c r="AF86" s="1475">
        <f>VLOOKUP($C86,'3B.Demographic'!$C$15:$N$414,11,FALSE)</f>
        <v>0</v>
      </c>
      <c r="AG86" s="1229">
        <f>VLOOKUP($C86,'3B.Demographic'!$C$15:$N$414,12,FALSE)</f>
        <v>0</v>
      </c>
    </row>
    <row r="87" spans="1:33" ht="20.100000000000001" customHeight="1">
      <c r="A87" s="217" t="str">
        <f>IF(D87&lt;&gt;"", ' 1A.Prop&amp;Residents'!$B$7, "")</f>
        <v/>
      </c>
      <c r="B87" s="217" t="str">
        <f t="shared" si="5"/>
        <v/>
      </c>
      <c r="C87" s="34">
        <v>73</v>
      </c>
      <c r="D87" s="153"/>
      <c r="E87" s="154"/>
      <c r="F87" s="1775"/>
      <c r="G87" s="155"/>
      <c r="H87" s="156"/>
      <c r="I87" s="154"/>
      <c r="J87" s="157"/>
      <c r="K87" s="156"/>
      <c r="L87" s="154"/>
      <c r="M87" s="609" t="str">
        <f>IF(L87="","",IF(E87="","",IF('1B.TransitionalProg'!$H$8&gt;0,"",VLOOKUP($E87,' 1A.Prop&amp;Residents'!$P$41:$R$47,2,FALSE))))</f>
        <v/>
      </c>
      <c r="N87" s="609" t="str">
        <f>IF(L87="","",IF(E87="","",IF('1B.TransitionalProg'!$H$8&gt;0,"",VLOOKUP($E87,' 1A.Prop&amp;Residents'!$P$41:$R$47,3,FALSE))))</f>
        <v/>
      </c>
      <c r="O87" s="610" t="str">
        <f>IF(L87="", "", IF(E87="", "", IF('1B.TransitionalProg'!$H$8&gt;0,"",IF(L87&lt;M87,"overHOUSED?",IF(L87&gt;N87, "OVERcrowded?","")))))</f>
        <v/>
      </c>
      <c r="P87" s="623"/>
      <c r="Q87" s="154"/>
      <c r="R87" s="154"/>
      <c r="S87" s="156"/>
      <c r="T87" s="156"/>
      <c r="U87" s="156"/>
      <c r="V87" s="156"/>
      <c r="W87" s="1580" t="str">
        <f t="shared" si="3"/>
        <v/>
      </c>
      <c r="X87" s="155"/>
      <c r="Y87" s="156"/>
      <c r="Z87" s="233" t="str">
        <f t="shared" si="4"/>
        <v/>
      </c>
      <c r="AA87" s="1447">
        <f>VLOOKUP($C87,'3B.Demographic'!$C$15:$N$414,6,FALSE)</f>
        <v>0</v>
      </c>
      <c r="AB87" s="1447">
        <f>VLOOKUP($C87,'3B.Demographic'!$C$15:$N$414,7,FALSE)</f>
        <v>0</v>
      </c>
      <c r="AC87" s="1447">
        <f>VLOOKUP($C87,'3B.Demographic'!$C$15:$N$414,8,FALSE)</f>
        <v>0</v>
      </c>
      <c r="AD87" s="1447">
        <f>VLOOKUP($C87,'3B.Demographic'!$C$15:$N$414,9,FALSE)</f>
        <v>0</v>
      </c>
      <c r="AE87" s="1447">
        <f>VLOOKUP($C87,'3B.Demographic'!$C$15:$N$414,10,FALSE)</f>
        <v>0</v>
      </c>
      <c r="AF87" s="1475">
        <f>VLOOKUP($C87,'3B.Demographic'!$C$15:$N$414,11,FALSE)</f>
        <v>0</v>
      </c>
      <c r="AG87" s="1229">
        <f>VLOOKUP($C87,'3B.Demographic'!$C$15:$N$414,12,FALSE)</f>
        <v>0</v>
      </c>
    </row>
    <row r="88" spans="1:33" ht="20.100000000000001" customHeight="1">
      <c r="A88" s="217" t="str">
        <f>IF(D88&lt;&gt;"", ' 1A.Prop&amp;Residents'!$B$7, "")</f>
        <v/>
      </c>
      <c r="B88" s="217" t="str">
        <f t="shared" si="5"/>
        <v/>
      </c>
      <c r="C88" s="34">
        <v>74</v>
      </c>
      <c r="D88" s="153"/>
      <c r="E88" s="154"/>
      <c r="F88" s="1775"/>
      <c r="G88" s="155"/>
      <c r="H88" s="156"/>
      <c r="I88" s="154"/>
      <c r="J88" s="157"/>
      <c r="K88" s="156"/>
      <c r="L88" s="154"/>
      <c r="M88" s="609" t="str">
        <f>IF(L88="","",IF(E88="","",IF('1B.TransitionalProg'!$H$8&gt;0,"",VLOOKUP($E88,' 1A.Prop&amp;Residents'!$P$41:$R$47,2,FALSE))))</f>
        <v/>
      </c>
      <c r="N88" s="609" t="str">
        <f>IF(L88="","",IF(E88="","",IF('1B.TransitionalProg'!$H$8&gt;0,"",VLOOKUP($E88,' 1A.Prop&amp;Residents'!$P$41:$R$47,3,FALSE))))</f>
        <v/>
      </c>
      <c r="O88" s="610" t="str">
        <f>IF(L88="", "", IF(E88="", "", IF('1B.TransitionalProg'!$H$8&gt;0,"",IF(L88&lt;M88,"overHOUSED?",IF(L88&gt;N88, "OVERcrowded?","")))))</f>
        <v/>
      </c>
      <c r="P88" s="623"/>
      <c r="Q88" s="154"/>
      <c r="R88" s="154"/>
      <c r="S88" s="156"/>
      <c r="T88" s="156"/>
      <c r="U88" s="156"/>
      <c r="V88" s="156"/>
      <c r="W88" s="1580" t="str">
        <f t="shared" si="3"/>
        <v/>
      </c>
      <c r="X88" s="155"/>
      <c r="Y88" s="156"/>
      <c r="Z88" s="233" t="str">
        <f t="shared" si="4"/>
        <v/>
      </c>
      <c r="AA88" s="1447">
        <f>VLOOKUP($C88,'3B.Demographic'!$C$15:$N$414,6,FALSE)</f>
        <v>0</v>
      </c>
      <c r="AB88" s="1447">
        <f>VLOOKUP($C88,'3B.Demographic'!$C$15:$N$414,7,FALSE)</f>
        <v>0</v>
      </c>
      <c r="AC88" s="1447">
        <f>VLOOKUP($C88,'3B.Demographic'!$C$15:$N$414,8,FALSE)</f>
        <v>0</v>
      </c>
      <c r="AD88" s="1447">
        <f>VLOOKUP($C88,'3B.Demographic'!$C$15:$N$414,9,FALSE)</f>
        <v>0</v>
      </c>
      <c r="AE88" s="1447">
        <f>VLOOKUP($C88,'3B.Demographic'!$C$15:$N$414,10,FALSE)</f>
        <v>0</v>
      </c>
      <c r="AF88" s="1475">
        <f>VLOOKUP($C88,'3B.Demographic'!$C$15:$N$414,11,FALSE)</f>
        <v>0</v>
      </c>
      <c r="AG88" s="1229">
        <f>VLOOKUP($C88,'3B.Demographic'!$C$15:$N$414,12,FALSE)</f>
        <v>0</v>
      </c>
    </row>
    <row r="89" spans="1:33" ht="20.100000000000001" customHeight="1">
      <c r="A89" s="217" t="str">
        <f>IF(D89&lt;&gt;"", ' 1A.Prop&amp;Residents'!$B$7, "")</f>
        <v/>
      </c>
      <c r="B89" s="217" t="str">
        <f t="shared" si="5"/>
        <v/>
      </c>
      <c r="C89" s="34">
        <v>75</v>
      </c>
      <c r="D89" s="153"/>
      <c r="E89" s="154"/>
      <c r="F89" s="1775"/>
      <c r="G89" s="155"/>
      <c r="H89" s="156"/>
      <c r="I89" s="154"/>
      <c r="J89" s="157"/>
      <c r="K89" s="156"/>
      <c r="L89" s="154"/>
      <c r="M89" s="609" t="str">
        <f>IF(L89="","",IF(E89="","",IF('1B.TransitionalProg'!$H$8&gt;0,"",VLOOKUP($E89,' 1A.Prop&amp;Residents'!$P$41:$R$47,2,FALSE))))</f>
        <v/>
      </c>
      <c r="N89" s="609" t="str">
        <f>IF(L89="","",IF(E89="","",IF('1B.TransitionalProg'!$H$8&gt;0,"",VLOOKUP($E89,' 1A.Prop&amp;Residents'!$P$41:$R$47,3,FALSE))))</f>
        <v/>
      </c>
      <c r="O89" s="610" t="str">
        <f>IF(L89="", "", IF(E89="", "", IF('1B.TransitionalProg'!$H$8&gt;0,"",IF(L89&lt;M89,"overHOUSED?",IF(L89&gt;N89, "OVERcrowded?","")))))</f>
        <v/>
      </c>
      <c r="P89" s="623"/>
      <c r="Q89" s="154"/>
      <c r="R89" s="154"/>
      <c r="S89" s="156"/>
      <c r="T89" s="156"/>
      <c r="U89" s="156"/>
      <c r="V89" s="156"/>
      <c r="W89" s="1580" t="str">
        <f t="shared" si="3"/>
        <v/>
      </c>
      <c r="X89" s="155"/>
      <c r="Y89" s="156"/>
      <c r="Z89" s="233" t="str">
        <f t="shared" si="4"/>
        <v/>
      </c>
      <c r="AA89" s="1447">
        <f>VLOOKUP($C89,'3B.Demographic'!$C$15:$N$414,6,FALSE)</f>
        <v>0</v>
      </c>
      <c r="AB89" s="1447">
        <f>VLOOKUP($C89,'3B.Demographic'!$C$15:$N$414,7,FALSE)</f>
        <v>0</v>
      </c>
      <c r="AC89" s="1447">
        <f>VLOOKUP($C89,'3B.Demographic'!$C$15:$N$414,8,FALSE)</f>
        <v>0</v>
      </c>
      <c r="AD89" s="1447">
        <f>VLOOKUP($C89,'3B.Demographic'!$C$15:$N$414,9,FALSE)</f>
        <v>0</v>
      </c>
      <c r="AE89" s="1447">
        <f>VLOOKUP($C89,'3B.Demographic'!$C$15:$N$414,10,FALSE)</f>
        <v>0</v>
      </c>
      <c r="AF89" s="1475">
        <f>VLOOKUP($C89,'3B.Demographic'!$C$15:$N$414,11,FALSE)</f>
        <v>0</v>
      </c>
      <c r="AG89" s="1229">
        <f>VLOOKUP($C89,'3B.Demographic'!$C$15:$N$414,12,FALSE)</f>
        <v>0</v>
      </c>
    </row>
    <row r="90" spans="1:33" ht="20.100000000000001" customHeight="1">
      <c r="A90" s="217" t="str">
        <f>IF(D90&lt;&gt;"", ' 1A.Prop&amp;Residents'!$B$7, "")</f>
        <v/>
      </c>
      <c r="B90" s="217" t="str">
        <f t="shared" si="5"/>
        <v/>
      </c>
      <c r="C90" s="34">
        <v>76</v>
      </c>
      <c r="D90" s="153"/>
      <c r="E90" s="154"/>
      <c r="F90" s="1775"/>
      <c r="G90" s="155"/>
      <c r="H90" s="156"/>
      <c r="I90" s="154"/>
      <c r="J90" s="157"/>
      <c r="K90" s="156"/>
      <c r="L90" s="154"/>
      <c r="M90" s="609" t="str">
        <f>IF(L90="","",IF(E90="","",IF('1B.TransitionalProg'!$H$8&gt;0,"",VLOOKUP($E90,' 1A.Prop&amp;Residents'!$P$41:$R$47,2,FALSE))))</f>
        <v/>
      </c>
      <c r="N90" s="609" t="str">
        <f>IF(L90="","",IF(E90="","",IF('1B.TransitionalProg'!$H$8&gt;0,"",VLOOKUP($E90,' 1A.Prop&amp;Residents'!$P$41:$R$47,3,FALSE))))</f>
        <v/>
      </c>
      <c r="O90" s="610" t="str">
        <f>IF(L90="", "", IF(E90="", "", IF('1B.TransitionalProg'!$H$8&gt;0,"",IF(L90&lt;M90,"overHOUSED?",IF(L90&gt;N90, "OVERcrowded?","")))))</f>
        <v/>
      </c>
      <c r="P90" s="623"/>
      <c r="Q90" s="154"/>
      <c r="R90" s="154"/>
      <c r="S90" s="156"/>
      <c r="T90" s="156"/>
      <c r="U90" s="156"/>
      <c r="V90" s="156"/>
      <c r="W90" s="1580" t="str">
        <f t="shared" si="3"/>
        <v/>
      </c>
      <c r="X90" s="155"/>
      <c r="Y90" s="156"/>
      <c r="Z90" s="233" t="str">
        <f t="shared" si="4"/>
        <v/>
      </c>
      <c r="AA90" s="1447">
        <f>VLOOKUP($C90,'3B.Demographic'!$C$15:$N$414,6,FALSE)</f>
        <v>0</v>
      </c>
      <c r="AB90" s="1447">
        <f>VLOOKUP($C90,'3B.Demographic'!$C$15:$N$414,7,FALSE)</f>
        <v>0</v>
      </c>
      <c r="AC90" s="1447">
        <f>VLOOKUP($C90,'3B.Demographic'!$C$15:$N$414,8,FALSE)</f>
        <v>0</v>
      </c>
      <c r="AD90" s="1447">
        <f>VLOOKUP($C90,'3B.Demographic'!$C$15:$N$414,9,FALSE)</f>
        <v>0</v>
      </c>
      <c r="AE90" s="1447">
        <f>VLOOKUP($C90,'3B.Demographic'!$C$15:$N$414,10,FALSE)</f>
        <v>0</v>
      </c>
      <c r="AF90" s="1475">
        <f>VLOOKUP($C90,'3B.Demographic'!$C$15:$N$414,11,FALSE)</f>
        <v>0</v>
      </c>
      <c r="AG90" s="1229">
        <f>VLOOKUP($C90,'3B.Demographic'!$C$15:$N$414,12,FALSE)</f>
        <v>0</v>
      </c>
    </row>
    <row r="91" spans="1:33" ht="20.100000000000001" customHeight="1">
      <c r="A91" s="217" t="str">
        <f>IF(D91&lt;&gt;"", ' 1A.Prop&amp;Residents'!$B$7, "")</f>
        <v/>
      </c>
      <c r="B91" s="217" t="str">
        <f t="shared" si="5"/>
        <v/>
      </c>
      <c r="C91" s="34">
        <v>77</v>
      </c>
      <c r="D91" s="153"/>
      <c r="E91" s="154"/>
      <c r="F91" s="1775"/>
      <c r="G91" s="155"/>
      <c r="H91" s="156"/>
      <c r="I91" s="154"/>
      <c r="J91" s="157"/>
      <c r="K91" s="156"/>
      <c r="L91" s="154"/>
      <c r="M91" s="609" t="str">
        <f>IF(L91="","",IF(E91="","",IF('1B.TransitionalProg'!$H$8&gt;0,"",VLOOKUP($E91,' 1A.Prop&amp;Residents'!$P$41:$R$47,2,FALSE))))</f>
        <v/>
      </c>
      <c r="N91" s="609" t="str">
        <f>IF(L91="","",IF(E91="","",IF('1B.TransitionalProg'!$H$8&gt;0,"",VLOOKUP($E91,' 1A.Prop&amp;Residents'!$P$41:$R$47,3,FALSE))))</f>
        <v/>
      </c>
      <c r="O91" s="610" t="str">
        <f>IF(L91="", "", IF(E91="", "", IF('1B.TransitionalProg'!$H$8&gt;0,"",IF(L91&lt;M91,"overHOUSED?",IF(L91&gt;N91, "OVERcrowded?","")))))</f>
        <v/>
      </c>
      <c r="P91" s="623"/>
      <c r="Q91" s="154"/>
      <c r="R91" s="154"/>
      <c r="S91" s="156"/>
      <c r="T91" s="156"/>
      <c r="U91" s="156"/>
      <c r="V91" s="156"/>
      <c r="W91" s="1580" t="str">
        <f t="shared" si="3"/>
        <v/>
      </c>
      <c r="X91" s="155"/>
      <c r="Y91" s="156"/>
      <c r="Z91" s="233" t="str">
        <f t="shared" si="4"/>
        <v/>
      </c>
      <c r="AA91" s="1447">
        <f>VLOOKUP($C91,'3B.Demographic'!$C$15:$N$414,6,FALSE)</f>
        <v>0</v>
      </c>
      <c r="AB91" s="1447">
        <f>VLOOKUP($C91,'3B.Demographic'!$C$15:$N$414,7,FALSE)</f>
        <v>0</v>
      </c>
      <c r="AC91" s="1447">
        <f>VLOOKUP($C91,'3B.Demographic'!$C$15:$N$414,8,FALSE)</f>
        <v>0</v>
      </c>
      <c r="AD91" s="1447">
        <f>VLOOKUP($C91,'3B.Demographic'!$C$15:$N$414,9,FALSE)</f>
        <v>0</v>
      </c>
      <c r="AE91" s="1447">
        <f>VLOOKUP($C91,'3B.Demographic'!$C$15:$N$414,10,FALSE)</f>
        <v>0</v>
      </c>
      <c r="AF91" s="1475">
        <f>VLOOKUP($C91,'3B.Demographic'!$C$15:$N$414,11,FALSE)</f>
        <v>0</v>
      </c>
      <c r="AG91" s="1229">
        <f>VLOOKUP($C91,'3B.Demographic'!$C$15:$N$414,12,FALSE)</f>
        <v>0</v>
      </c>
    </row>
    <row r="92" spans="1:33" ht="20.100000000000001" customHeight="1">
      <c r="A92" s="217" t="str">
        <f>IF(D92&lt;&gt;"", ' 1A.Prop&amp;Residents'!$B$7, "")</f>
        <v/>
      </c>
      <c r="B92" s="217" t="str">
        <f t="shared" si="5"/>
        <v/>
      </c>
      <c r="C92" s="34">
        <v>78</v>
      </c>
      <c r="D92" s="153"/>
      <c r="E92" s="154"/>
      <c r="F92" s="1775"/>
      <c r="G92" s="155"/>
      <c r="H92" s="156"/>
      <c r="I92" s="154"/>
      <c r="J92" s="157"/>
      <c r="K92" s="156"/>
      <c r="L92" s="154"/>
      <c r="M92" s="609" t="str">
        <f>IF(L92="","",IF(E92="","",IF('1B.TransitionalProg'!$H$8&gt;0,"",VLOOKUP($E92,' 1A.Prop&amp;Residents'!$P$41:$R$47,2,FALSE))))</f>
        <v/>
      </c>
      <c r="N92" s="609" t="str">
        <f>IF(L92="","",IF(E92="","",IF('1B.TransitionalProg'!$H$8&gt;0,"",VLOOKUP($E92,' 1A.Prop&amp;Residents'!$P$41:$R$47,3,FALSE))))</f>
        <v/>
      </c>
      <c r="O92" s="610" t="str">
        <f>IF(L92="", "", IF(E92="", "", IF('1B.TransitionalProg'!$H$8&gt;0,"",IF(L92&lt;M92,"overHOUSED?",IF(L92&gt;N92, "OVERcrowded?","")))))</f>
        <v/>
      </c>
      <c r="P92" s="623"/>
      <c r="Q92" s="154"/>
      <c r="R92" s="154"/>
      <c r="S92" s="156"/>
      <c r="T92" s="156"/>
      <c r="U92" s="156"/>
      <c r="V92" s="156"/>
      <c r="W92" s="1580" t="str">
        <f t="shared" si="3"/>
        <v/>
      </c>
      <c r="X92" s="155"/>
      <c r="Y92" s="156"/>
      <c r="Z92" s="233" t="str">
        <f t="shared" si="4"/>
        <v/>
      </c>
      <c r="AA92" s="1447">
        <f>VLOOKUP($C92,'3B.Demographic'!$C$15:$N$414,6,FALSE)</f>
        <v>0</v>
      </c>
      <c r="AB92" s="1447">
        <f>VLOOKUP($C92,'3B.Demographic'!$C$15:$N$414,7,FALSE)</f>
        <v>0</v>
      </c>
      <c r="AC92" s="1447">
        <f>VLOOKUP($C92,'3B.Demographic'!$C$15:$N$414,8,FALSE)</f>
        <v>0</v>
      </c>
      <c r="AD92" s="1447">
        <f>VLOOKUP($C92,'3B.Demographic'!$C$15:$N$414,9,FALSE)</f>
        <v>0</v>
      </c>
      <c r="AE92" s="1447">
        <f>VLOOKUP($C92,'3B.Demographic'!$C$15:$N$414,10,FALSE)</f>
        <v>0</v>
      </c>
      <c r="AF92" s="1475">
        <f>VLOOKUP($C92,'3B.Demographic'!$C$15:$N$414,11,FALSE)</f>
        <v>0</v>
      </c>
      <c r="AG92" s="1229">
        <f>VLOOKUP($C92,'3B.Demographic'!$C$15:$N$414,12,FALSE)</f>
        <v>0</v>
      </c>
    </row>
    <row r="93" spans="1:33" ht="20.100000000000001" customHeight="1">
      <c r="A93" s="217" t="str">
        <f>IF(D93&lt;&gt;"", ' 1A.Prop&amp;Residents'!$B$7, "")</f>
        <v/>
      </c>
      <c r="B93" s="217" t="str">
        <f t="shared" si="5"/>
        <v/>
      </c>
      <c r="C93" s="34">
        <v>79</v>
      </c>
      <c r="D93" s="153"/>
      <c r="E93" s="154"/>
      <c r="F93" s="1775"/>
      <c r="G93" s="155"/>
      <c r="H93" s="156"/>
      <c r="I93" s="154"/>
      <c r="J93" s="157"/>
      <c r="K93" s="156"/>
      <c r="L93" s="154"/>
      <c r="M93" s="609" t="str">
        <f>IF(L93="","",IF(E93="","",IF('1B.TransitionalProg'!$H$8&gt;0,"",VLOOKUP($E93,' 1A.Prop&amp;Residents'!$P$41:$R$47,2,FALSE))))</f>
        <v/>
      </c>
      <c r="N93" s="609" t="str">
        <f>IF(L93="","",IF(E93="","",IF('1B.TransitionalProg'!$H$8&gt;0,"",VLOOKUP($E93,' 1A.Prop&amp;Residents'!$P$41:$R$47,3,FALSE))))</f>
        <v/>
      </c>
      <c r="O93" s="610" t="str">
        <f>IF(L93="", "", IF(E93="", "", IF('1B.TransitionalProg'!$H$8&gt;0,"",IF(L93&lt;M93,"overHOUSED?",IF(L93&gt;N93, "OVERcrowded?","")))))</f>
        <v/>
      </c>
      <c r="P93" s="623"/>
      <c r="Q93" s="154"/>
      <c r="R93" s="154"/>
      <c r="S93" s="156"/>
      <c r="T93" s="156"/>
      <c r="U93" s="156"/>
      <c r="V93" s="156"/>
      <c r="W93" s="1580" t="str">
        <f t="shared" si="3"/>
        <v/>
      </c>
      <c r="X93" s="155"/>
      <c r="Y93" s="156"/>
      <c r="Z93" s="233" t="str">
        <f t="shared" si="4"/>
        <v/>
      </c>
      <c r="AA93" s="1447">
        <f>VLOOKUP($C93,'3B.Demographic'!$C$15:$N$414,6,FALSE)</f>
        <v>0</v>
      </c>
      <c r="AB93" s="1447">
        <f>VLOOKUP($C93,'3B.Demographic'!$C$15:$N$414,7,FALSE)</f>
        <v>0</v>
      </c>
      <c r="AC93" s="1447">
        <f>VLOOKUP($C93,'3B.Demographic'!$C$15:$N$414,8,FALSE)</f>
        <v>0</v>
      </c>
      <c r="AD93" s="1447">
        <f>VLOOKUP($C93,'3B.Demographic'!$C$15:$N$414,9,FALSE)</f>
        <v>0</v>
      </c>
      <c r="AE93" s="1447">
        <f>VLOOKUP($C93,'3B.Demographic'!$C$15:$N$414,10,FALSE)</f>
        <v>0</v>
      </c>
      <c r="AF93" s="1475">
        <f>VLOOKUP($C93,'3B.Demographic'!$C$15:$N$414,11,FALSE)</f>
        <v>0</v>
      </c>
      <c r="AG93" s="1229">
        <f>VLOOKUP($C93,'3B.Demographic'!$C$15:$N$414,12,FALSE)</f>
        <v>0</v>
      </c>
    </row>
    <row r="94" spans="1:33" ht="20.100000000000001" customHeight="1">
      <c r="A94" s="217" t="str">
        <f>IF(D94&lt;&gt;"", ' 1A.Prop&amp;Residents'!$B$7, "")</f>
        <v/>
      </c>
      <c r="B94" s="217" t="str">
        <f t="shared" si="5"/>
        <v/>
      </c>
      <c r="C94" s="34">
        <v>80</v>
      </c>
      <c r="D94" s="153"/>
      <c r="E94" s="154"/>
      <c r="F94" s="1775"/>
      <c r="G94" s="155"/>
      <c r="H94" s="156"/>
      <c r="I94" s="154"/>
      <c r="J94" s="157"/>
      <c r="K94" s="156"/>
      <c r="L94" s="154"/>
      <c r="M94" s="609" t="str">
        <f>IF(L94="","",IF(E94="","",IF('1B.TransitionalProg'!$H$8&gt;0,"",VLOOKUP($E94,' 1A.Prop&amp;Residents'!$P$41:$R$47,2,FALSE))))</f>
        <v/>
      </c>
      <c r="N94" s="609" t="str">
        <f>IF(L94="","",IF(E94="","",IF('1B.TransitionalProg'!$H$8&gt;0,"",VLOOKUP($E94,' 1A.Prop&amp;Residents'!$P$41:$R$47,3,FALSE))))</f>
        <v/>
      </c>
      <c r="O94" s="610" t="str">
        <f>IF(L94="", "", IF(E94="", "", IF('1B.TransitionalProg'!$H$8&gt;0,"",IF(L94&lt;M94,"overHOUSED?",IF(L94&gt;N94, "OVERcrowded?","")))))</f>
        <v/>
      </c>
      <c r="P94" s="623"/>
      <c r="Q94" s="154"/>
      <c r="R94" s="154"/>
      <c r="S94" s="156"/>
      <c r="T94" s="156"/>
      <c r="U94" s="156"/>
      <c r="V94" s="156"/>
      <c r="W94" s="1580" t="str">
        <f t="shared" si="3"/>
        <v/>
      </c>
      <c r="X94" s="155"/>
      <c r="Y94" s="156"/>
      <c r="Z94" s="233" t="str">
        <f t="shared" si="4"/>
        <v/>
      </c>
      <c r="AA94" s="1447">
        <f>VLOOKUP($C94,'3B.Demographic'!$C$15:$N$414,6,FALSE)</f>
        <v>0</v>
      </c>
      <c r="AB94" s="1447">
        <f>VLOOKUP($C94,'3B.Demographic'!$C$15:$N$414,7,FALSE)</f>
        <v>0</v>
      </c>
      <c r="AC94" s="1447">
        <f>VLOOKUP($C94,'3B.Demographic'!$C$15:$N$414,8,FALSE)</f>
        <v>0</v>
      </c>
      <c r="AD94" s="1447">
        <f>VLOOKUP($C94,'3B.Demographic'!$C$15:$N$414,9,FALSE)</f>
        <v>0</v>
      </c>
      <c r="AE94" s="1447">
        <f>VLOOKUP($C94,'3B.Demographic'!$C$15:$N$414,10,FALSE)</f>
        <v>0</v>
      </c>
      <c r="AF94" s="1475">
        <f>VLOOKUP($C94,'3B.Demographic'!$C$15:$N$414,11,FALSE)</f>
        <v>0</v>
      </c>
      <c r="AG94" s="1229">
        <f>VLOOKUP($C94,'3B.Demographic'!$C$15:$N$414,12,FALSE)</f>
        <v>0</v>
      </c>
    </row>
    <row r="95" spans="1:33" ht="20.100000000000001" customHeight="1">
      <c r="A95" s="217" t="str">
        <f>IF(D95&lt;&gt;"", ' 1A.Prop&amp;Residents'!$B$7, "")</f>
        <v/>
      </c>
      <c r="B95" s="217" t="str">
        <f t="shared" si="5"/>
        <v/>
      </c>
      <c r="C95" s="34">
        <v>81</v>
      </c>
      <c r="D95" s="153"/>
      <c r="E95" s="154"/>
      <c r="F95" s="1775"/>
      <c r="G95" s="155"/>
      <c r="H95" s="156"/>
      <c r="I95" s="154"/>
      <c r="J95" s="157"/>
      <c r="K95" s="156"/>
      <c r="L95" s="154"/>
      <c r="M95" s="609" t="str">
        <f>IF(L95="","",IF(E95="","",IF('1B.TransitionalProg'!$H$8&gt;0,"",VLOOKUP($E95,' 1A.Prop&amp;Residents'!$P$41:$R$47,2,FALSE))))</f>
        <v/>
      </c>
      <c r="N95" s="609" t="str">
        <f>IF(L95="","",IF(E95="","",IF('1B.TransitionalProg'!$H$8&gt;0,"",VLOOKUP($E95,' 1A.Prop&amp;Residents'!$P$41:$R$47,3,FALSE))))</f>
        <v/>
      </c>
      <c r="O95" s="610" t="str">
        <f>IF(L95="", "", IF(E95="", "", IF('1B.TransitionalProg'!$H$8&gt;0,"",IF(L95&lt;M95,"overHOUSED?",IF(L95&gt;N95, "OVERcrowded?","")))))</f>
        <v/>
      </c>
      <c r="P95" s="623"/>
      <c r="Q95" s="154"/>
      <c r="R95" s="154"/>
      <c r="S95" s="156"/>
      <c r="T95" s="156"/>
      <c r="U95" s="156"/>
      <c r="V95" s="156"/>
      <c r="W95" s="1580" t="str">
        <f t="shared" si="3"/>
        <v/>
      </c>
      <c r="X95" s="155"/>
      <c r="Y95" s="156"/>
      <c r="Z95" s="233" t="str">
        <f t="shared" si="4"/>
        <v/>
      </c>
      <c r="AA95" s="1447">
        <f>VLOOKUP($C95,'3B.Demographic'!$C$15:$N$414,6,FALSE)</f>
        <v>0</v>
      </c>
      <c r="AB95" s="1447">
        <f>VLOOKUP($C95,'3B.Demographic'!$C$15:$N$414,7,FALSE)</f>
        <v>0</v>
      </c>
      <c r="AC95" s="1447">
        <f>VLOOKUP($C95,'3B.Demographic'!$C$15:$N$414,8,FALSE)</f>
        <v>0</v>
      </c>
      <c r="AD95" s="1447">
        <f>VLOOKUP($C95,'3B.Demographic'!$C$15:$N$414,9,FALSE)</f>
        <v>0</v>
      </c>
      <c r="AE95" s="1447">
        <f>VLOOKUP($C95,'3B.Demographic'!$C$15:$N$414,10,FALSE)</f>
        <v>0</v>
      </c>
      <c r="AF95" s="1475">
        <f>VLOOKUP($C95,'3B.Demographic'!$C$15:$N$414,11,FALSE)</f>
        <v>0</v>
      </c>
      <c r="AG95" s="1229">
        <f>VLOOKUP($C95,'3B.Demographic'!$C$15:$N$414,12,FALSE)</f>
        <v>0</v>
      </c>
    </row>
    <row r="96" spans="1:33" ht="20.100000000000001" customHeight="1">
      <c r="A96" s="217" t="str">
        <f>IF(D96&lt;&gt;"", ' 1A.Prop&amp;Residents'!$B$7, "")</f>
        <v/>
      </c>
      <c r="B96" s="217" t="str">
        <f t="shared" si="5"/>
        <v/>
      </c>
      <c r="C96" s="34">
        <v>82</v>
      </c>
      <c r="D96" s="153"/>
      <c r="E96" s="154"/>
      <c r="F96" s="1775"/>
      <c r="G96" s="155"/>
      <c r="H96" s="156"/>
      <c r="I96" s="154"/>
      <c r="J96" s="157"/>
      <c r="K96" s="156"/>
      <c r="L96" s="154"/>
      <c r="M96" s="609" t="str">
        <f>IF(L96="","",IF(E96="","",IF('1B.TransitionalProg'!$H$8&gt;0,"",VLOOKUP($E96,' 1A.Prop&amp;Residents'!$P$41:$R$47,2,FALSE))))</f>
        <v/>
      </c>
      <c r="N96" s="609" t="str">
        <f>IF(L96="","",IF(E96="","",IF('1B.TransitionalProg'!$H$8&gt;0,"",VLOOKUP($E96,' 1A.Prop&amp;Residents'!$P$41:$R$47,3,FALSE))))</f>
        <v/>
      </c>
      <c r="O96" s="610" t="str">
        <f>IF(L96="", "", IF(E96="", "", IF('1B.TransitionalProg'!$H$8&gt;0,"",IF(L96&lt;M96,"overHOUSED?",IF(L96&gt;N96, "OVERcrowded?","")))))</f>
        <v/>
      </c>
      <c r="P96" s="623"/>
      <c r="Q96" s="154"/>
      <c r="R96" s="154"/>
      <c r="S96" s="156"/>
      <c r="T96" s="156"/>
      <c r="U96" s="156"/>
      <c r="V96" s="156"/>
      <c r="W96" s="1580" t="str">
        <f t="shared" si="3"/>
        <v/>
      </c>
      <c r="X96" s="155"/>
      <c r="Y96" s="156"/>
      <c r="Z96" s="233" t="str">
        <f t="shared" si="4"/>
        <v/>
      </c>
      <c r="AA96" s="1447">
        <f>VLOOKUP($C96,'3B.Demographic'!$C$15:$N$414,6,FALSE)</f>
        <v>0</v>
      </c>
      <c r="AB96" s="1447">
        <f>VLOOKUP($C96,'3B.Demographic'!$C$15:$N$414,7,FALSE)</f>
        <v>0</v>
      </c>
      <c r="AC96" s="1447">
        <f>VLOOKUP($C96,'3B.Demographic'!$C$15:$N$414,8,FALSE)</f>
        <v>0</v>
      </c>
      <c r="AD96" s="1447">
        <f>VLOOKUP($C96,'3B.Demographic'!$C$15:$N$414,9,FALSE)</f>
        <v>0</v>
      </c>
      <c r="AE96" s="1447">
        <f>VLOOKUP($C96,'3B.Demographic'!$C$15:$N$414,10,FALSE)</f>
        <v>0</v>
      </c>
      <c r="AF96" s="1475">
        <f>VLOOKUP($C96,'3B.Demographic'!$C$15:$N$414,11,FALSE)</f>
        <v>0</v>
      </c>
      <c r="AG96" s="1229">
        <f>VLOOKUP($C96,'3B.Demographic'!$C$15:$N$414,12,FALSE)</f>
        <v>0</v>
      </c>
    </row>
    <row r="97" spans="1:33" ht="20.100000000000001" customHeight="1">
      <c r="A97" s="217" t="str">
        <f>IF(D97&lt;&gt;"", ' 1A.Prop&amp;Residents'!$B$7, "")</f>
        <v/>
      </c>
      <c r="B97" s="217" t="str">
        <f t="shared" si="5"/>
        <v/>
      </c>
      <c r="C97" s="34">
        <v>83</v>
      </c>
      <c r="D97" s="153"/>
      <c r="E97" s="154"/>
      <c r="F97" s="1775"/>
      <c r="G97" s="155"/>
      <c r="H97" s="156"/>
      <c r="I97" s="154"/>
      <c r="J97" s="157"/>
      <c r="K97" s="156"/>
      <c r="L97" s="154"/>
      <c r="M97" s="609" t="str">
        <f>IF(L97="","",IF(E97="","",IF('1B.TransitionalProg'!$H$8&gt;0,"",VLOOKUP($E97,' 1A.Prop&amp;Residents'!$P$41:$R$47,2,FALSE))))</f>
        <v/>
      </c>
      <c r="N97" s="609" t="str">
        <f>IF(L97="","",IF(E97="","",IF('1B.TransitionalProg'!$H$8&gt;0,"",VLOOKUP($E97,' 1A.Prop&amp;Residents'!$P$41:$R$47,3,FALSE))))</f>
        <v/>
      </c>
      <c r="O97" s="610" t="str">
        <f>IF(L97="", "", IF(E97="", "", IF('1B.TransitionalProg'!$H$8&gt;0,"",IF(L97&lt;M97,"overHOUSED?",IF(L97&gt;N97, "OVERcrowded?","")))))</f>
        <v/>
      </c>
      <c r="P97" s="623"/>
      <c r="Q97" s="154"/>
      <c r="R97" s="154"/>
      <c r="S97" s="156"/>
      <c r="T97" s="156"/>
      <c r="U97" s="156"/>
      <c r="V97" s="156"/>
      <c r="W97" s="1580" t="str">
        <f t="shared" si="3"/>
        <v/>
      </c>
      <c r="X97" s="155"/>
      <c r="Y97" s="156"/>
      <c r="Z97" s="233" t="str">
        <f t="shared" si="4"/>
        <v/>
      </c>
      <c r="AA97" s="1447">
        <f>VLOOKUP($C97,'3B.Demographic'!$C$15:$N$414,6,FALSE)</f>
        <v>0</v>
      </c>
      <c r="AB97" s="1447">
        <f>VLOOKUP($C97,'3B.Demographic'!$C$15:$N$414,7,FALSE)</f>
        <v>0</v>
      </c>
      <c r="AC97" s="1447">
        <f>VLOOKUP($C97,'3B.Demographic'!$C$15:$N$414,8,FALSE)</f>
        <v>0</v>
      </c>
      <c r="AD97" s="1447">
        <f>VLOOKUP($C97,'3B.Demographic'!$C$15:$N$414,9,FALSE)</f>
        <v>0</v>
      </c>
      <c r="AE97" s="1447">
        <f>VLOOKUP($C97,'3B.Demographic'!$C$15:$N$414,10,FALSE)</f>
        <v>0</v>
      </c>
      <c r="AF97" s="1475">
        <f>VLOOKUP($C97,'3B.Demographic'!$C$15:$N$414,11,FALSE)</f>
        <v>0</v>
      </c>
      <c r="AG97" s="1229">
        <f>VLOOKUP($C97,'3B.Demographic'!$C$15:$N$414,12,FALSE)</f>
        <v>0</v>
      </c>
    </row>
    <row r="98" spans="1:33" ht="20.100000000000001" customHeight="1">
      <c r="A98" s="217" t="str">
        <f>IF(D98&lt;&gt;"", ' 1A.Prop&amp;Residents'!$B$7, "")</f>
        <v/>
      </c>
      <c r="B98" s="217" t="str">
        <f t="shared" si="5"/>
        <v/>
      </c>
      <c r="C98" s="34">
        <v>84</v>
      </c>
      <c r="D98" s="153"/>
      <c r="E98" s="154"/>
      <c r="F98" s="1775"/>
      <c r="G98" s="155"/>
      <c r="H98" s="156"/>
      <c r="I98" s="154"/>
      <c r="J98" s="157"/>
      <c r="K98" s="156"/>
      <c r="L98" s="154"/>
      <c r="M98" s="609" t="str">
        <f>IF(L98="","",IF(E98="","",IF('1B.TransitionalProg'!$H$8&gt;0,"",VLOOKUP($E98,' 1A.Prop&amp;Residents'!$P$41:$R$47,2,FALSE))))</f>
        <v/>
      </c>
      <c r="N98" s="609" t="str">
        <f>IF(L98="","",IF(E98="","",IF('1B.TransitionalProg'!$H$8&gt;0,"",VLOOKUP($E98,' 1A.Prop&amp;Residents'!$P$41:$R$47,3,FALSE))))</f>
        <v/>
      </c>
      <c r="O98" s="610" t="str">
        <f>IF(L98="", "", IF(E98="", "", IF('1B.TransitionalProg'!$H$8&gt;0,"",IF(L98&lt;M98,"overHOUSED?",IF(L98&gt;N98, "OVERcrowded?","")))))</f>
        <v/>
      </c>
      <c r="P98" s="623"/>
      <c r="Q98" s="154"/>
      <c r="R98" s="154"/>
      <c r="S98" s="156"/>
      <c r="T98" s="156"/>
      <c r="U98" s="156"/>
      <c r="V98" s="156"/>
      <c r="W98" s="1580" t="str">
        <f t="shared" si="3"/>
        <v/>
      </c>
      <c r="X98" s="155"/>
      <c r="Y98" s="156"/>
      <c r="Z98" s="233" t="str">
        <f t="shared" si="4"/>
        <v/>
      </c>
      <c r="AA98" s="1447">
        <f>VLOOKUP($C98,'3B.Demographic'!$C$15:$N$414,6,FALSE)</f>
        <v>0</v>
      </c>
      <c r="AB98" s="1447">
        <f>VLOOKUP($C98,'3B.Demographic'!$C$15:$N$414,7,FALSE)</f>
        <v>0</v>
      </c>
      <c r="AC98" s="1447">
        <f>VLOOKUP($C98,'3B.Demographic'!$C$15:$N$414,8,FALSE)</f>
        <v>0</v>
      </c>
      <c r="AD98" s="1447">
        <f>VLOOKUP($C98,'3B.Demographic'!$C$15:$N$414,9,FALSE)</f>
        <v>0</v>
      </c>
      <c r="AE98" s="1447">
        <f>VLOOKUP($C98,'3B.Demographic'!$C$15:$N$414,10,FALSE)</f>
        <v>0</v>
      </c>
      <c r="AF98" s="1475">
        <f>VLOOKUP($C98,'3B.Demographic'!$C$15:$N$414,11,FALSE)</f>
        <v>0</v>
      </c>
      <c r="AG98" s="1229">
        <f>VLOOKUP($C98,'3B.Demographic'!$C$15:$N$414,12,FALSE)</f>
        <v>0</v>
      </c>
    </row>
    <row r="99" spans="1:33" ht="20.100000000000001" customHeight="1">
      <c r="A99" s="217" t="str">
        <f>IF(D99&lt;&gt;"", ' 1A.Prop&amp;Residents'!$B$7, "")</f>
        <v/>
      </c>
      <c r="B99" s="217" t="str">
        <f t="shared" si="5"/>
        <v/>
      </c>
      <c r="C99" s="34">
        <v>85</v>
      </c>
      <c r="D99" s="153"/>
      <c r="E99" s="154"/>
      <c r="F99" s="1775"/>
      <c r="G99" s="155"/>
      <c r="H99" s="156"/>
      <c r="I99" s="154"/>
      <c r="J99" s="157"/>
      <c r="K99" s="156"/>
      <c r="L99" s="154"/>
      <c r="M99" s="609" t="str">
        <f>IF(L99="","",IF(E99="","",IF('1B.TransitionalProg'!$H$8&gt;0,"",VLOOKUP($E99,' 1A.Prop&amp;Residents'!$P$41:$R$47,2,FALSE))))</f>
        <v/>
      </c>
      <c r="N99" s="609" t="str">
        <f>IF(L99="","",IF(E99="","",IF('1B.TransitionalProg'!$H$8&gt;0,"",VLOOKUP($E99,' 1A.Prop&amp;Residents'!$P$41:$R$47,3,FALSE))))</f>
        <v/>
      </c>
      <c r="O99" s="610" t="str">
        <f>IF(L99="", "", IF(E99="", "", IF('1B.TransitionalProg'!$H$8&gt;0,"",IF(L99&lt;M99,"overHOUSED?",IF(L99&gt;N99, "OVERcrowded?","")))))</f>
        <v/>
      </c>
      <c r="P99" s="623"/>
      <c r="Q99" s="154"/>
      <c r="R99" s="154"/>
      <c r="S99" s="156"/>
      <c r="T99" s="156"/>
      <c r="U99" s="156"/>
      <c r="V99" s="156"/>
      <c r="W99" s="1580" t="str">
        <f t="shared" si="3"/>
        <v/>
      </c>
      <c r="X99" s="155"/>
      <c r="Y99" s="156"/>
      <c r="Z99" s="233" t="str">
        <f t="shared" si="4"/>
        <v/>
      </c>
      <c r="AA99" s="1447">
        <f>VLOOKUP($C99,'3B.Demographic'!$C$15:$N$414,6,FALSE)</f>
        <v>0</v>
      </c>
      <c r="AB99" s="1447">
        <f>VLOOKUP($C99,'3B.Demographic'!$C$15:$N$414,7,FALSE)</f>
        <v>0</v>
      </c>
      <c r="AC99" s="1447">
        <f>VLOOKUP($C99,'3B.Demographic'!$C$15:$N$414,8,FALSE)</f>
        <v>0</v>
      </c>
      <c r="AD99" s="1447">
        <f>VLOOKUP($C99,'3B.Demographic'!$C$15:$N$414,9,FALSE)</f>
        <v>0</v>
      </c>
      <c r="AE99" s="1447">
        <f>VLOOKUP($C99,'3B.Demographic'!$C$15:$N$414,10,FALSE)</f>
        <v>0</v>
      </c>
      <c r="AF99" s="1475">
        <f>VLOOKUP($C99,'3B.Demographic'!$C$15:$N$414,11,FALSE)</f>
        <v>0</v>
      </c>
      <c r="AG99" s="1229">
        <f>VLOOKUP($C99,'3B.Demographic'!$C$15:$N$414,12,FALSE)</f>
        <v>0</v>
      </c>
    </row>
    <row r="100" spans="1:33" ht="20.100000000000001" customHeight="1">
      <c r="A100" s="217" t="str">
        <f>IF(D100&lt;&gt;"", ' 1A.Prop&amp;Residents'!$B$7, "")</f>
        <v/>
      </c>
      <c r="B100" s="217" t="str">
        <f t="shared" si="5"/>
        <v/>
      </c>
      <c r="C100" s="34">
        <v>86</v>
      </c>
      <c r="D100" s="153"/>
      <c r="E100" s="154"/>
      <c r="F100" s="1775"/>
      <c r="G100" s="155"/>
      <c r="H100" s="156"/>
      <c r="I100" s="154"/>
      <c r="J100" s="157"/>
      <c r="K100" s="156"/>
      <c r="L100" s="154"/>
      <c r="M100" s="609" t="str">
        <f>IF(L100="","",IF(E100="","",IF('1B.TransitionalProg'!$H$8&gt;0,"",VLOOKUP($E100,' 1A.Prop&amp;Residents'!$P$41:$R$47,2,FALSE))))</f>
        <v/>
      </c>
      <c r="N100" s="609" t="str">
        <f>IF(L100="","",IF(E100="","",IF('1B.TransitionalProg'!$H$8&gt;0,"",VLOOKUP($E100,' 1A.Prop&amp;Residents'!$P$41:$R$47,3,FALSE))))</f>
        <v/>
      </c>
      <c r="O100" s="610" t="str">
        <f>IF(L100="", "", IF(E100="", "", IF('1B.TransitionalProg'!$H$8&gt;0,"",IF(L100&lt;M100,"overHOUSED?",IF(L100&gt;N100, "OVERcrowded?","")))))</f>
        <v/>
      </c>
      <c r="P100" s="623"/>
      <c r="Q100" s="154"/>
      <c r="R100" s="154"/>
      <c r="S100" s="156"/>
      <c r="T100" s="156"/>
      <c r="U100" s="156"/>
      <c r="V100" s="156"/>
      <c r="W100" s="1580" t="str">
        <f t="shared" si="3"/>
        <v/>
      </c>
      <c r="X100" s="155"/>
      <c r="Y100" s="156"/>
      <c r="Z100" s="233" t="str">
        <f t="shared" si="4"/>
        <v/>
      </c>
      <c r="AA100" s="1447">
        <f>VLOOKUP($C100,'3B.Demographic'!$C$15:$N$414,6,FALSE)</f>
        <v>0</v>
      </c>
      <c r="AB100" s="1447">
        <f>VLOOKUP($C100,'3B.Demographic'!$C$15:$N$414,7,FALSE)</f>
        <v>0</v>
      </c>
      <c r="AC100" s="1447">
        <f>VLOOKUP($C100,'3B.Demographic'!$C$15:$N$414,8,FALSE)</f>
        <v>0</v>
      </c>
      <c r="AD100" s="1447">
        <f>VLOOKUP($C100,'3B.Demographic'!$C$15:$N$414,9,FALSE)</f>
        <v>0</v>
      </c>
      <c r="AE100" s="1447">
        <f>VLOOKUP($C100,'3B.Demographic'!$C$15:$N$414,10,FALSE)</f>
        <v>0</v>
      </c>
      <c r="AF100" s="1475">
        <f>VLOOKUP($C100,'3B.Demographic'!$C$15:$N$414,11,FALSE)</f>
        <v>0</v>
      </c>
      <c r="AG100" s="1229">
        <f>VLOOKUP($C100,'3B.Demographic'!$C$15:$N$414,12,FALSE)</f>
        <v>0</v>
      </c>
    </row>
    <row r="101" spans="1:33" ht="20.100000000000001" customHeight="1">
      <c r="A101" s="217" t="str">
        <f>IF(D101&lt;&gt;"", ' 1A.Prop&amp;Residents'!$B$7, "")</f>
        <v/>
      </c>
      <c r="B101" s="217" t="str">
        <f t="shared" si="5"/>
        <v/>
      </c>
      <c r="C101" s="34">
        <v>87</v>
      </c>
      <c r="D101" s="153"/>
      <c r="E101" s="154"/>
      <c r="F101" s="1775"/>
      <c r="G101" s="155"/>
      <c r="H101" s="156"/>
      <c r="I101" s="154"/>
      <c r="J101" s="157"/>
      <c r="K101" s="156"/>
      <c r="L101" s="154"/>
      <c r="M101" s="609" t="str">
        <f>IF(L101="","",IF(E101="","",IF('1B.TransitionalProg'!$H$8&gt;0,"",VLOOKUP($E101,' 1A.Prop&amp;Residents'!$P$41:$R$47,2,FALSE))))</f>
        <v/>
      </c>
      <c r="N101" s="609" t="str">
        <f>IF(L101="","",IF(E101="","",IF('1B.TransitionalProg'!$H$8&gt;0,"",VLOOKUP($E101,' 1A.Prop&amp;Residents'!$P$41:$R$47,3,FALSE))))</f>
        <v/>
      </c>
      <c r="O101" s="610" t="str">
        <f>IF(L101="", "", IF(E101="", "", IF('1B.TransitionalProg'!$H$8&gt;0,"",IF(L101&lt;M101,"overHOUSED?",IF(L101&gt;N101, "OVERcrowded?","")))))</f>
        <v/>
      </c>
      <c r="P101" s="623"/>
      <c r="Q101" s="154"/>
      <c r="R101" s="154"/>
      <c r="S101" s="156"/>
      <c r="T101" s="156"/>
      <c r="U101" s="156"/>
      <c r="V101" s="156"/>
      <c r="W101" s="1580" t="str">
        <f t="shared" si="3"/>
        <v/>
      </c>
      <c r="X101" s="155"/>
      <c r="Y101" s="156"/>
      <c r="Z101" s="233" t="str">
        <f t="shared" si="4"/>
        <v/>
      </c>
      <c r="AA101" s="1447">
        <f>VLOOKUP($C101,'3B.Demographic'!$C$15:$N$414,6,FALSE)</f>
        <v>0</v>
      </c>
      <c r="AB101" s="1447">
        <f>VLOOKUP($C101,'3B.Demographic'!$C$15:$N$414,7,FALSE)</f>
        <v>0</v>
      </c>
      <c r="AC101" s="1447">
        <f>VLOOKUP($C101,'3B.Demographic'!$C$15:$N$414,8,FALSE)</f>
        <v>0</v>
      </c>
      <c r="AD101" s="1447">
        <f>VLOOKUP($C101,'3B.Demographic'!$C$15:$N$414,9,FALSE)</f>
        <v>0</v>
      </c>
      <c r="AE101" s="1447">
        <f>VLOOKUP($C101,'3B.Demographic'!$C$15:$N$414,10,FALSE)</f>
        <v>0</v>
      </c>
      <c r="AF101" s="1475">
        <f>VLOOKUP($C101,'3B.Demographic'!$C$15:$N$414,11,FALSE)</f>
        <v>0</v>
      </c>
      <c r="AG101" s="1229">
        <f>VLOOKUP($C101,'3B.Demographic'!$C$15:$N$414,12,FALSE)</f>
        <v>0</v>
      </c>
    </row>
    <row r="102" spans="1:33" ht="20.100000000000001" customHeight="1">
      <c r="A102" s="217" t="str">
        <f>IF(D102&lt;&gt;"", ' 1A.Prop&amp;Residents'!$B$7, "")</f>
        <v/>
      </c>
      <c r="B102" s="217" t="str">
        <f t="shared" si="5"/>
        <v/>
      </c>
      <c r="C102" s="34">
        <v>88</v>
      </c>
      <c r="D102" s="153"/>
      <c r="E102" s="154"/>
      <c r="F102" s="1775"/>
      <c r="G102" s="155"/>
      <c r="H102" s="156"/>
      <c r="I102" s="154"/>
      <c r="J102" s="157"/>
      <c r="K102" s="156"/>
      <c r="L102" s="154"/>
      <c r="M102" s="609" t="str">
        <f>IF(L102="","",IF(E102="","",IF('1B.TransitionalProg'!$H$8&gt;0,"",VLOOKUP($E102,' 1A.Prop&amp;Residents'!$P$41:$R$47,2,FALSE))))</f>
        <v/>
      </c>
      <c r="N102" s="609" t="str">
        <f>IF(L102="","",IF(E102="","",IF('1B.TransitionalProg'!$H$8&gt;0,"",VLOOKUP($E102,' 1A.Prop&amp;Residents'!$P$41:$R$47,3,FALSE))))</f>
        <v/>
      </c>
      <c r="O102" s="610" t="str">
        <f>IF(L102="", "", IF(E102="", "", IF('1B.TransitionalProg'!$H$8&gt;0,"",IF(L102&lt;M102,"overHOUSED?",IF(L102&gt;N102, "OVERcrowded?","")))))</f>
        <v/>
      </c>
      <c r="P102" s="623"/>
      <c r="Q102" s="154"/>
      <c r="R102" s="154"/>
      <c r="S102" s="156"/>
      <c r="T102" s="156"/>
      <c r="U102" s="156"/>
      <c r="V102" s="156"/>
      <c r="W102" s="1580" t="str">
        <f t="shared" si="3"/>
        <v/>
      </c>
      <c r="X102" s="155"/>
      <c r="Y102" s="156"/>
      <c r="Z102" s="233" t="str">
        <f t="shared" si="4"/>
        <v/>
      </c>
      <c r="AA102" s="1447">
        <f>VLOOKUP($C102,'3B.Demographic'!$C$15:$N$414,6,FALSE)</f>
        <v>0</v>
      </c>
      <c r="AB102" s="1447">
        <f>VLOOKUP($C102,'3B.Demographic'!$C$15:$N$414,7,FALSE)</f>
        <v>0</v>
      </c>
      <c r="AC102" s="1447">
        <f>VLOOKUP($C102,'3B.Demographic'!$C$15:$N$414,8,FALSE)</f>
        <v>0</v>
      </c>
      <c r="AD102" s="1447">
        <f>VLOOKUP($C102,'3B.Demographic'!$C$15:$N$414,9,FALSE)</f>
        <v>0</v>
      </c>
      <c r="AE102" s="1447">
        <f>VLOOKUP($C102,'3B.Demographic'!$C$15:$N$414,10,FALSE)</f>
        <v>0</v>
      </c>
      <c r="AF102" s="1475">
        <f>VLOOKUP($C102,'3B.Demographic'!$C$15:$N$414,11,FALSE)</f>
        <v>0</v>
      </c>
      <c r="AG102" s="1229">
        <f>VLOOKUP($C102,'3B.Demographic'!$C$15:$N$414,12,FALSE)</f>
        <v>0</v>
      </c>
    </row>
    <row r="103" spans="1:33" ht="20.100000000000001" customHeight="1">
      <c r="A103" s="217" t="str">
        <f>IF(D103&lt;&gt;"", ' 1A.Prop&amp;Residents'!$B$7, "")</f>
        <v/>
      </c>
      <c r="B103" s="217" t="str">
        <f t="shared" si="5"/>
        <v/>
      </c>
      <c r="C103" s="34">
        <v>89</v>
      </c>
      <c r="D103" s="153"/>
      <c r="E103" s="154"/>
      <c r="F103" s="1775"/>
      <c r="G103" s="155"/>
      <c r="H103" s="156"/>
      <c r="I103" s="154"/>
      <c r="J103" s="157"/>
      <c r="K103" s="156"/>
      <c r="L103" s="154"/>
      <c r="M103" s="609" t="str">
        <f>IF(L103="","",IF(E103="","",IF('1B.TransitionalProg'!$H$8&gt;0,"",VLOOKUP($E103,' 1A.Prop&amp;Residents'!$P$41:$R$47,2,FALSE))))</f>
        <v/>
      </c>
      <c r="N103" s="609" t="str">
        <f>IF(L103="","",IF(E103="","",IF('1B.TransitionalProg'!$H$8&gt;0,"",VLOOKUP($E103,' 1A.Prop&amp;Residents'!$P$41:$R$47,3,FALSE))))</f>
        <v/>
      </c>
      <c r="O103" s="610" t="str">
        <f>IF(L103="", "", IF(E103="", "", IF('1B.TransitionalProg'!$H$8&gt;0,"",IF(L103&lt;M103,"overHOUSED?",IF(L103&gt;N103, "OVERcrowded?","")))))</f>
        <v/>
      </c>
      <c r="P103" s="623"/>
      <c r="Q103" s="154"/>
      <c r="R103" s="154"/>
      <c r="S103" s="156"/>
      <c r="T103" s="156"/>
      <c r="U103" s="156"/>
      <c r="V103" s="156"/>
      <c r="W103" s="1580" t="str">
        <f t="shared" si="3"/>
        <v/>
      </c>
      <c r="X103" s="155"/>
      <c r="Y103" s="156"/>
      <c r="Z103" s="233" t="str">
        <f t="shared" si="4"/>
        <v/>
      </c>
      <c r="AA103" s="1447">
        <f>VLOOKUP($C103,'3B.Demographic'!$C$15:$N$414,6,FALSE)</f>
        <v>0</v>
      </c>
      <c r="AB103" s="1447">
        <f>VLOOKUP($C103,'3B.Demographic'!$C$15:$N$414,7,FALSE)</f>
        <v>0</v>
      </c>
      <c r="AC103" s="1447">
        <f>VLOOKUP($C103,'3B.Demographic'!$C$15:$N$414,8,FALSE)</f>
        <v>0</v>
      </c>
      <c r="AD103" s="1447">
        <f>VLOOKUP($C103,'3B.Demographic'!$C$15:$N$414,9,FALSE)</f>
        <v>0</v>
      </c>
      <c r="AE103" s="1447">
        <f>VLOOKUP($C103,'3B.Demographic'!$C$15:$N$414,10,FALSE)</f>
        <v>0</v>
      </c>
      <c r="AF103" s="1475">
        <f>VLOOKUP($C103,'3B.Demographic'!$C$15:$N$414,11,FALSE)</f>
        <v>0</v>
      </c>
      <c r="AG103" s="1229">
        <f>VLOOKUP($C103,'3B.Demographic'!$C$15:$N$414,12,FALSE)</f>
        <v>0</v>
      </c>
    </row>
    <row r="104" spans="1:33" ht="20.100000000000001" customHeight="1">
      <c r="A104" s="217" t="str">
        <f>IF(D104&lt;&gt;"", ' 1A.Prop&amp;Residents'!$B$7, "")</f>
        <v/>
      </c>
      <c r="B104" s="217" t="str">
        <f t="shared" si="5"/>
        <v/>
      </c>
      <c r="C104" s="34">
        <v>90</v>
      </c>
      <c r="D104" s="153"/>
      <c r="E104" s="154"/>
      <c r="F104" s="1775"/>
      <c r="G104" s="155"/>
      <c r="H104" s="156"/>
      <c r="I104" s="154"/>
      <c r="J104" s="157"/>
      <c r="K104" s="156"/>
      <c r="L104" s="154"/>
      <c r="M104" s="609" t="str">
        <f>IF(L104="","",IF(E104="","",IF('1B.TransitionalProg'!$H$8&gt;0,"",VLOOKUP($E104,' 1A.Prop&amp;Residents'!$P$41:$R$47,2,FALSE))))</f>
        <v/>
      </c>
      <c r="N104" s="609" t="str">
        <f>IF(L104="","",IF(E104="","",IF('1B.TransitionalProg'!$H$8&gt;0,"",VLOOKUP($E104,' 1A.Prop&amp;Residents'!$P$41:$R$47,3,FALSE))))</f>
        <v/>
      </c>
      <c r="O104" s="610" t="str">
        <f>IF(L104="", "", IF(E104="", "", IF('1B.TransitionalProg'!$H$8&gt;0,"",IF(L104&lt;M104,"overHOUSED?",IF(L104&gt;N104, "OVERcrowded?","")))))</f>
        <v/>
      </c>
      <c r="P104" s="623"/>
      <c r="Q104" s="154"/>
      <c r="R104" s="154"/>
      <c r="S104" s="156"/>
      <c r="T104" s="156"/>
      <c r="U104" s="156"/>
      <c r="V104" s="156"/>
      <c r="W104" s="1580" t="str">
        <f t="shared" si="3"/>
        <v/>
      </c>
      <c r="X104" s="155"/>
      <c r="Y104" s="156"/>
      <c r="Z104" s="233" t="str">
        <f t="shared" si="4"/>
        <v/>
      </c>
      <c r="AA104" s="1447">
        <f>VLOOKUP($C104,'3B.Demographic'!$C$15:$N$414,6,FALSE)</f>
        <v>0</v>
      </c>
      <c r="AB104" s="1447">
        <f>VLOOKUP($C104,'3B.Demographic'!$C$15:$N$414,7,FALSE)</f>
        <v>0</v>
      </c>
      <c r="AC104" s="1447">
        <f>VLOOKUP($C104,'3B.Demographic'!$C$15:$N$414,8,FALSE)</f>
        <v>0</v>
      </c>
      <c r="AD104" s="1447">
        <f>VLOOKUP($C104,'3B.Demographic'!$C$15:$N$414,9,FALSE)</f>
        <v>0</v>
      </c>
      <c r="AE104" s="1447">
        <f>VLOOKUP($C104,'3B.Demographic'!$C$15:$N$414,10,FALSE)</f>
        <v>0</v>
      </c>
      <c r="AF104" s="1475">
        <f>VLOOKUP($C104,'3B.Demographic'!$C$15:$N$414,11,FALSE)</f>
        <v>0</v>
      </c>
      <c r="AG104" s="1229">
        <f>VLOOKUP($C104,'3B.Demographic'!$C$15:$N$414,12,FALSE)</f>
        <v>0</v>
      </c>
    </row>
    <row r="105" spans="1:33" ht="20.100000000000001" customHeight="1">
      <c r="A105" s="217" t="str">
        <f>IF(D105&lt;&gt;"", ' 1A.Prop&amp;Residents'!$B$7, "")</f>
        <v/>
      </c>
      <c r="B105" s="217" t="str">
        <f t="shared" si="5"/>
        <v/>
      </c>
      <c r="C105" s="34">
        <v>91</v>
      </c>
      <c r="D105" s="153"/>
      <c r="E105" s="154"/>
      <c r="F105" s="1775"/>
      <c r="G105" s="155"/>
      <c r="H105" s="156"/>
      <c r="I105" s="154"/>
      <c r="J105" s="157"/>
      <c r="K105" s="156"/>
      <c r="L105" s="154"/>
      <c r="M105" s="609" t="str">
        <f>IF(L105="","",IF(E105="","",IF('1B.TransitionalProg'!$H$8&gt;0,"",VLOOKUP($E105,' 1A.Prop&amp;Residents'!$P$41:$R$47,2,FALSE))))</f>
        <v/>
      </c>
      <c r="N105" s="609" t="str">
        <f>IF(L105="","",IF(E105="","",IF('1B.TransitionalProg'!$H$8&gt;0,"",VLOOKUP($E105,' 1A.Prop&amp;Residents'!$P$41:$R$47,3,FALSE))))</f>
        <v/>
      </c>
      <c r="O105" s="610" t="str">
        <f>IF(L105="", "", IF(E105="", "", IF('1B.TransitionalProg'!$H$8&gt;0,"",IF(L105&lt;M105,"overHOUSED?",IF(L105&gt;N105, "OVERcrowded?","")))))</f>
        <v/>
      </c>
      <c r="P105" s="623"/>
      <c r="Q105" s="154"/>
      <c r="R105" s="154"/>
      <c r="S105" s="156"/>
      <c r="T105" s="156"/>
      <c r="U105" s="156"/>
      <c r="V105" s="156"/>
      <c r="W105" s="1580" t="str">
        <f t="shared" si="3"/>
        <v/>
      </c>
      <c r="X105" s="155"/>
      <c r="Y105" s="156"/>
      <c r="Z105" s="233" t="str">
        <f t="shared" si="4"/>
        <v/>
      </c>
      <c r="AA105" s="1447">
        <f>VLOOKUP($C105,'3B.Demographic'!$C$15:$N$414,6,FALSE)</f>
        <v>0</v>
      </c>
      <c r="AB105" s="1447">
        <f>VLOOKUP($C105,'3B.Demographic'!$C$15:$N$414,7,FALSE)</f>
        <v>0</v>
      </c>
      <c r="AC105" s="1447">
        <f>VLOOKUP($C105,'3B.Demographic'!$C$15:$N$414,8,FALSE)</f>
        <v>0</v>
      </c>
      <c r="AD105" s="1447">
        <f>VLOOKUP($C105,'3B.Demographic'!$C$15:$N$414,9,FALSE)</f>
        <v>0</v>
      </c>
      <c r="AE105" s="1447">
        <f>VLOOKUP($C105,'3B.Demographic'!$C$15:$N$414,10,FALSE)</f>
        <v>0</v>
      </c>
      <c r="AF105" s="1475">
        <f>VLOOKUP($C105,'3B.Demographic'!$C$15:$N$414,11,FALSE)</f>
        <v>0</v>
      </c>
      <c r="AG105" s="1229">
        <f>VLOOKUP($C105,'3B.Demographic'!$C$15:$N$414,12,FALSE)</f>
        <v>0</v>
      </c>
    </row>
    <row r="106" spans="1:33" ht="20.100000000000001" customHeight="1">
      <c r="A106" s="217" t="str">
        <f>IF(D106&lt;&gt;"", ' 1A.Prop&amp;Residents'!$B$7, "")</f>
        <v/>
      </c>
      <c r="B106" s="217" t="str">
        <f t="shared" si="5"/>
        <v/>
      </c>
      <c r="C106" s="34">
        <v>92</v>
      </c>
      <c r="D106" s="153"/>
      <c r="E106" s="154"/>
      <c r="F106" s="1775"/>
      <c r="G106" s="155"/>
      <c r="H106" s="156"/>
      <c r="I106" s="154"/>
      <c r="J106" s="157"/>
      <c r="K106" s="156"/>
      <c r="L106" s="154"/>
      <c r="M106" s="609" t="str">
        <f>IF(L106="","",IF(E106="","",IF('1B.TransitionalProg'!$H$8&gt;0,"",VLOOKUP($E106,' 1A.Prop&amp;Residents'!$P$41:$R$47,2,FALSE))))</f>
        <v/>
      </c>
      <c r="N106" s="609" t="str">
        <f>IF(L106="","",IF(E106="","",IF('1B.TransitionalProg'!$H$8&gt;0,"",VLOOKUP($E106,' 1A.Prop&amp;Residents'!$P$41:$R$47,3,FALSE))))</f>
        <v/>
      </c>
      <c r="O106" s="610" t="str">
        <f>IF(L106="", "", IF(E106="", "", IF('1B.TransitionalProg'!$H$8&gt;0,"",IF(L106&lt;M106,"overHOUSED?",IF(L106&gt;N106, "OVERcrowded?","")))))</f>
        <v/>
      </c>
      <c r="P106" s="623"/>
      <c r="Q106" s="154"/>
      <c r="R106" s="154"/>
      <c r="S106" s="156"/>
      <c r="T106" s="156"/>
      <c r="U106" s="156"/>
      <c r="V106" s="156"/>
      <c r="W106" s="1580" t="str">
        <f t="shared" si="3"/>
        <v/>
      </c>
      <c r="X106" s="155"/>
      <c r="Y106" s="156"/>
      <c r="Z106" s="233" t="str">
        <f t="shared" si="4"/>
        <v/>
      </c>
      <c r="AA106" s="1447">
        <f>VLOOKUP($C106,'3B.Demographic'!$C$15:$N$414,6,FALSE)</f>
        <v>0</v>
      </c>
      <c r="AB106" s="1447">
        <f>VLOOKUP($C106,'3B.Demographic'!$C$15:$N$414,7,FALSE)</f>
        <v>0</v>
      </c>
      <c r="AC106" s="1447">
        <f>VLOOKUP($C106,'3B.Demographic'!$C$15:$N$414,8,FALSE)</f>
        <v>0</v>
      </c>
      <c r="AD106" s="1447">
        <f>VLOOKUP($C106,'3B.Demographic'!$C$15:$N$414,9,FALSE)</f>
        <v>0</v>
      </c>
      <c r="AE106" s="1447">
        <f>VLOOKUP($C106,'3B.Demographic'!$C$15:$N$414,10,FALSE)</f>
        <v>0</v>
      </c>
      <c r="AF106" s="1475">
        <f>VLOOKUP($C106,'3B.Demographic'!$C$15:$N$414,11,FALSE)</f>
        <v>0</v>
      </c>
      <c r="AG106" s="1229">
        <f>VLOOKUP($C106,'3B.Demographic'!$C$15:$N$414,12,FALSE)</f>
        <v>0</v>
      </c>
    </row>
    <row r="107" spans="1:33" ht="20.100000000000001" customHeight="1">
      <c r="A107" s="217" t="str">
        <f>IF(D107&lt;&gt;"", ' 1A.Prop&amp;Residents'!$B$7, "")</f>
        <v/>
      </c>
      <c r="B107" s="217" t="str">
        <f t="shared" si="5"/>
        <v/>
      </c>
      <c r="C107" s="34">
        <v>93</v>
      </c>
      <c r="D107" s="153"/>
      <c r="E107" s="154"/>
      <c r="F107" s="1775"/>
      <c r="G107" s="155"/>
      <c r="H107" s="156"/>
      <c r="I107" s="154"/>
      <c r="J107" s="157"/>
      <c r="K107" s="156"/>
      <c r="L107" s="154"/>
      <c r="M107" s="609" t="str">
        <f>IF(L107="","",IF(E107="","",IF('1B.TransitionalProg'!$H$8&gt;0,"",VLOOKUP($E107,' 1A.Prop&amp;Residents'!$P$41:$R$47,2,FALSE))))</f>
        <v/>
      </c>
      <c r="N107" s="609" t="str">
        <f>IF(L107="","",IF(E107="","",IF('1B.TransitionalProg'!$H$8&gt;0,"",VLOOKUP($E107,' 1A.Prop&amp;Residents'!$P$41:$R$47,3,FALSE))))</f>
        <v/>
      </c>
      <c r="O107" s="610" t="str">
        <f>IF(L107="", "", IF(E107="", "", IF('1B.TransitionalProg'!$H$8&gt;0,"",IF(L107&lt;M107,"overHOUSED?",IF(L107&gt;N107, "OVERcrowded?","")))))</f>
        <v/>
      </c>
      <c r="P107" s="623"/>
      <c r="Q107" s="154"/>
      <c r="R107" s="154"/>
      <c r="S107" s="156"/>
      <c r="T107" s="156"/>
      <c r="U107" s="156"/>
      <c r="V107" s="156"/>
      <c r="W107" s="1580" t="str">
        <f t="shared" si="3"/>
        <v/>
      </c>
      <c r="X107" s="155"/>
      <c r="Y107" s="156"/>
      <c r="Z107" s="233" t="str">
        <f t="shared" si="4"/>
        <v/>
      </c>
      <c r="AA107" s="1447">
        <f>VLOOKUP($C107,'3B.Demographic'!$C$15:$N$414,6,FALSE)</f>
        <v>0</v>
      </c>
      <c r="AB107" s="1447">
        <f>VLOOKUP($C107,'3B.Demographic'!$C$15:$N$414,7,FALSE)</f>
        <v>0</v>
      </c>
      <c r="AC107" s="1447">
        <f>VLOOKUP($C107,'3B.Demographic'!$C$15:$N$414,8,FALSE)</f>
        <v>0</v>
      </c>
      <c r="AD107" s="1447">
        <f>VLOOKUP($C107,'3B.Demographic'!$C$15:$N$414,9,FALSE)</f>
        <v>0</v>
      </c>
      <c r="AE107" s="1447">
        <f>VLOOKUP($C107,'3B.Demographic'!$C$15:$N$414,10,FALSE)</f>
        <v>0</v>
      </c>
      <c r="AF107" s="1475">
        <f>VLOOKUP($C107,'3B.Demographic'!$C$15:$N$414,11,FALSE)</f>
        <v>0</v>
      </c>
      <c r="AG107" s="1229">
        <f>VLOOKUP($C107,'3B.Demographic'!$C$15:$N$414,12,FALSE)</f>
        <v>0</v>
      </c>
    </row>
    <row r="108" spans="1:33" ht="20.100000000000001" customHeight="1">
      <c r="A108" s="217" t="str">
        <f>IF(D108&lt;&gt;"", ' 1A.Prop&amp;Residents'!$B$7, "")</f>
        <v/>
      </c>
      <c r="B108" s="217" t="str">
        <f t="shared" si="5"/>
        <v/>
      </c>
      <c r="C108" s="34">
        <v>94</v>
      </c>
      <c r="D108" s="153"/>
      <c r="E108" s="154"/>
      <c r="F108" s="1775"/>
      <c r="G108" s="155"/>
      <c r="H108" s="156"/>
      <c r="I108" s="154"/>
      <c r="J108" s="157"/>
      <c r="K108" s="156"/>
      <c r="L108" s="154"/>
      <c r="M108" s="609" t="str">
        <f>IF(L108="","",IF(E108="","",IF('1B.TransitionalProg'!$H$8&gt;0,"",VLOOKUP($E108,' 1A.Prop&amp;Residents'!$P$41:$R$47,2,FALSE))))</f>
        <v/>
      </c>
      <c r="N108" s="609" t="str">
        <f>IF(L108="","",IF(E108="","",IF('1B.TransitionalProg'!$H$8&gt;0,"",VLOOKUP($E108,' 1A.Prop&amp;Residents'!$P$41:$R$47,3,FALSE))))</f>
        <v/>
      </c>
      <c r="O108" s="610" t="str">
        <f>IF(L108="", "", IF(E108="", "", IF('1B.TransitionalProg'!$H$8&gt;0,"",IF(L108&lt;M108,"overHOUSED?",IF(L108&gt;N108, "OVERcrowded?","")))))</f>
        <v/>
      </c>
      <c r="P108" s="623"/>
      <c r="Q108" s="154"/>
      <c r="R108" s="154"/>
      <c r="S108" s="156"/>
      <c r="T108" s="156"/>
      <c r="U108" s="156"/>
      <c r="V108" s="156"/>
      <c r="W108" s="1580" t="str">
        <f t="shared" si="3"/>
        <v/>
      </c>
      <c r="X108" s="155"/>
      <c r="Y108" s="156"/>
      <c r="Z108" s="233" t="str">
        <f t="shared" si="4"/>
        <v/>
      </c>
      <c r="AA108" s="1447">
        <f>VLOOKUP($C108,'3B.Demographic'!$C$15:$N$414,6,FALSE)</f>
        <v>0</v>
      </c>
      <c r="AB108" s="1447">
        <f>VLOOKUP($C108,'3B.Demographic'!$C$15:$N$414,7,FALSE)</f>
        <v>0</v>
      </c>
      <c r="AC108" s="1447">
        <f>VLOOKUP($C108,'3B.Demographic'!$C$15:$N$414,8,FALSE)</f>
        <v>0</v>
      </c>
      <c r="AD108" s="1447">
        <f>VLOOKUP($C108,'3B.Demographic'!$C$15:$N$414,9,FALSE)</f>
        <v>0</v>
      </c>
      <c r="AE108" s="1447">
        <f>VLOOKUP($C108,'3B.Demographic'!$C$15:$N$414,10,FALSE)</f>
        <v>0</v>
      </c>
      <c r="AF108" s="1475">
        <f>VLOOKUP($C108,'3B.Demographic'!$C$15:$N$414,11,FALSE)</f>
        <v>0</v>
      </c>
      <c r="AG108" s="1229">
        <f>VLOOKUP($C108,'3B.Demographic'!$C$15:$N$414,12,FALSE)</f>
        <v>0</v>
      </c>
    </row>
    <row r="109" spans="1:33" ht="20.100000000000001" customHeight="1">
      <c r="A109" s="217" t="str">
        <f>IF(D109&lt;&gt;"", ' 1A.Prop&amp;Residents'!$B$7, "")</f>
        <v/>
      </c>
      <c r="B109" s="217" t="str">
        <f t="shared" si="5"/>
        <v/>
      </c>
      <c r="C109" s="34">
        <v>95</v>
      </c>
      <c r="D109" s="153"/>
      <c r="E109" s="154"/>
      <c r="F109" s="1775"/>
      <c r="G109" s="155"/>
      <c r="H109" s="156"/>
      <c r="I109" s="154"/>
      <c r="J109" s="157"/>
      <c r="K109" s="156"/>
      <c r="L109" s="154"/>
      <c r="M109" s="609" t="str">
        <f>IF(L109="","",IF(E109="","",IF('1B.TransitionalProg'!$H$8&gt;0,"",VLOOKUP($E109,' 1A.Prop&amp;Residents'!$P$41:$R$47,2,FALSE))))</f>
        <v/>
      </c>
      <c r="N109" s="609" t="str">
        <f>IF(L109="","",IF(E109="","",IF('1B.TransitionalProg'!$H$8&gt;0,"",VLOOKUP($E109,' 1A.Prop&amp;Residents'!$P$41:$R$47,3,FALSE))))</f>
        <v/>
      </c>
      <c r="O109" s="610" t="str">
        <f>IF(L109="", "", IF(E109="", "", IF('1B.TransitionalProg'!$H$8&gt;0,"",IF(L109&lt;M109,"overHOUSED?",IF(L109&gt;N109, "OVERcrowded?","")))))</f>
        <v/>
      </c>
      <c r="P109" s="623"/>
      <c r="Q109" s="154"/>
      <c r="R109" s="154"/>
      <c r="S109" s="156"/>
      <c r="T109" s="156"/>
      <c r="U109" s="156"/>
      <c r="V109" s="156"/>
      <c r="W109" s="1580" t="str">
        <f t="shared" si="3"/>
        <v/>
      </c>
      <c r="X109" s="155"/>
      <c r="Y109" s="156"/>
      <c r="Z109" s="233" t="str">
        <f t="shared" si="4"/>
        <v/>
      </c>
      <c r="AA109" s="1447">
        <f>VLOOKUP($C109,'3B.Demographic'!$C$15:$N$414,6,FALSE)</f>
        <v>0</v>
      </c>
      <c r="AB109" s="1447">
        <f>VLOOKUP($C109,'3B.Demographic'!$C$15:$N$414,7,FALSE)</f>
        <v>0</v>
      </c>
      <c r="AC109" s="1447">
        <f>VLOOKUP($C109,'3B.Demographic'!$C$15:$N$414,8,FALSE)</f>
        <v>0</v>
      </c>
      <c r="AD109" s="1447">
        <f>VLOOKUP($C109,'3B.Demographic'!$C$15:$N$414,9,FALSE)</f>
        <v>0</v>
      </c>
      <c r="AE109" s="1447">
        <f>VLOOKUP($C109,'3B.Demographic'!$C$15:$N$414,10,FALSE)</f>
        <v>0</v>
      </c>
      <c r="AF109" s="1475">
        <f>VLOOKUP($C109,'3B.Demographic'!$C$15:$N$414,11,FALSE)</f>
        <v>0</v>
      </c>
      <c r="AG109" s="1229">
        <f>VLOOKUP($C109,'3B.Demographic'!$C$15:$N$414,12,FALSE)</f>
        <v>0</v>
      </c>
    </row>
    <row r="110" spans="1:33" ht="20.100000000000001" customHeight="1">
      <c r="A110" s="217" t="str">
        <f>IF(D110&lt;&gt;"", ' 1A.Prop&amp;Residents'!$B$7, "")</f>
        <v/>
      </c>
      <c r="B110" s="217" t="str">
        <f t="shared" si="5"/>
        <v/>
      </c>
      <c r="C110" s="34">
        <v>96</v>
      </c>
      <c r="D110" s="153"/>
      <c r="E110" s="154"/>
      <c r="F110" s="1775"/>
      <c r="G110" s="155"/>
      <c r="H110" s="156"/>
      <c r="I110" s="154"/>
      <c r="J110" s="157"/>
      <c r="K110" s="156"/>
      <c r="L110" s="154"/>
      <c r="M110" s="609" t="str">
        <f>IF(L110="","",IF(E110="","",IF('1B.TransitionalProg'!$H$8&gt;0,"",VLOOKUP($E110,' 1A.Prop&amp;Residents'!$P$41:$R$47,2,FALSE))))</f>
        <v/>
      </c>
      <c r="N110" s="609" t="str">
        <f>IF(L110="","",IF(E110="","",IF('1B.TransitionalProg'!$H$8&gt;0,"",VLOOKUP($E110,' 1A.Prop&amp;Residents'!$P$41:$R$47,3,FALSE))))</f>
        <v/>
      </c>
      <c r="O110" s="610" t="str">
        <f>IF(L110="", "", IF(E110="", "", IF('1B.TransitionalProg'!$H$8&gt;0,"",IF(L110&lt;M110,"overHOUSED?",IF(L110&gt;N110, "OVERcrowded?","")))))</f>
        <v/>
      </c>
      <c r="P110" s="623"/>
      <c r="Q110" s="154"/>
      <c r="R110" s="154"/>
      <c r="S110" s="156"/>
      <c r="T110" s="156"/>
      <c r="U110" s="156"/>
      <c r="V110" s="156"/>
      <c r="W110" s="1580" t="str">
        <f t="shared" si="3"/>
        <v/>
      </c>
      <c r="X110" s="155"/>
      <c r="Y110" s="156"/>
      <c r="Z110" s="233" t="str">
        <f t="shared" si="4"/>
        <v/>
      </c>
      <c r="AA110" s="1447">
        <f>VLOOKUP($C110,'3B.Demographic'!$C$15:$N$414,6,FALSE)</f>
        <v>0</v>
      </c>
      <c r="AB110" s="1447">
        <f>VLOOKUP($C110,'3B.Demographic'!$C$15:$N$414,7,FALSE)</f>
        <v>0</v>
      </c>
      <c r="AC110" s="1447">
        <f>VLOOKUP($C110,'3B.Demographic'!$C$15:$N$414,8,FALSE)</f>
        <v>0</v>
      </c>
      <c r="AD110" s="1447">
        <f>VLOOKUP($C110,'3B.Demographic'!$C$15:$N$414,9,FALSE)</f>
        <v>0</v>
      </c>
      <c r="AE110" s="1447">
        <f>VLOOKUP($C110,'3B.Demographic'!$C$15:$N$414,10,FALSE)</f>
        <v>0</v>
      </c>
      <c r="AF110" s="1475">
        <f>VLOOKUP($C110,'3B.Demographic'!$C$15:$N$414,11,FALSE)</f>
        <v>0</v>
      </c>
      <c r="AG110" s="1229">
        <f>VLOOKUP($C110,'3B.Demographic'!$C$15:$N$414,12,FALSE)</f>
        <v>0</v>
      </c>
    </row>
    <row r="111" spans="1:33" ht="20.100000000000001" customHeight="1">
      <c r="A111" s="217" t="str">
        <f>IF(D111&lt;&gt;"", ' 1A.Prop&amp;Residents'!$B$7, "")</f>
        <v/>
      </c>
      <c r="B111" s="217" t="str">
        <f t="shared" si="5"/>
        <v/>
      </c>
      <c r="C111" s="34">
        <v>97</v>
      </c>
      <c r="D111" s="153"/>
      <c r="E111" s="154"/>
      <c r="F111" s="1775"/>
      <c r="G111" s="155"/>
      <c r="H111" s="156"/>
      <c r="I111" s="154"/>
      <c r="J111" s="157"/>
      <c r="K111" s="156"/>
      <c r="L111" s="154"/>
      <c r="M111" s="609" t="str">
        <f>IF(L111="","",IF(E111="","",IF('1B.TransitionalProg'!$H$8&gt;0,"",VLOOKUP($E111,' 1A.Prop&amp;Residents'!$P$41:$R$47,2,FALSE))))</f>
        <v/>
      </c>
      <c r="N111" s="609" t="str">
        <f>IF(L111="","",IF(E111="","",IF('1B.TransitionalProg'!$H$8&gt;0,"",VLOOKUP($E111,' 1A.Prop&amp;Residents'!$P$41:$R$47,3,FALSE))))</f>
        <v/>
      </c>
      <c r="O111" s="610" t="str">
        <f>IF(L111="", "", IF(E111="", "", IF('1B.TransitionalProg'!$H$8&gt;0,"",IF(L111&lt;M111,"overHOUSED?",IF(L111&gt;N111, "OVERcrowded?","")))))</f>
        <v/>
      </c>
      <c r="P111" s="623"/>
      <c r="Q111" s="154"/>
      <c r="R111" s="154"/>
      <c r="S111" s="156"/>
      <c r="T111" s="156"/>
      <c r="U111" s="156"/>
      <c r="V111" s="156"/>
      <c r="W111" s="1580" t="str">
        <f t="shared" si="3"/>
        <v/>
      </c>
      <c r="X111" s="155"/>
      <c r="Y111" s="156"/>
      <c r="Z111" s="233" t="str">
        <f t="shared" si="4"/>
        <v/>
      </c>
      <c r="AA111" s="1447">
        <f>VLOOKUP($C111,'3B.Demographic'!$C$15:$N$414,6,FALSE)</f>
        <v>0</v>
      </c>
      <c r="AB111" s="1447">
        <f>VLOOKUP($C111,'3B.Demographic'!$C$15:$N$414,7,FALSE)</f>
        <v>0</v>
      </c>
      <c r="AC111" s="1447">
        <f>VLOOKUP($C111,'3B.Demographic'!$C$15:$N$414,8,FALSE)</f>
        <v>0</v>
      </c>
      <c r="AD111" s="1447">
        <f>VLOOKUP($C111,'3B.Demographic'!$C$15:$N$414,9,FALSE)</f>
        <v>0</v>
      </c>
      <c r="AE111" s="1447">
        <f>VLOOKUP($C111,'3B.Demographic'!$C$15:$N$414,10,FALSE)</f>
        <v>0</v>
      </c>
      <c r="AF111" s="1475">
        <f>VLOOKUP($C111,'3B.Demographic'!$C$15:$N$414,11,FALSE)</f>
        <v>0</v>
      </c>
      <c r="AG111" s="1229">
        <f>VLOOKUP($C111,'3B.Demographic'!$C$15:$N$414,12,FALSE)</f>
        <v>0</v>
      </c>
    </row>
    <row r="112" spans="1:33" ht="20.100000000000001" customHeight="1">
      <c r="A112" s="217" t="str">
        <f>IF(D112&lt;&gt;"", ' 1A.Prop&amp;Residents'!$B$7, "")</f>
        <v/>
      </c>
      <c r="B112" s="217" t="str">
        <f t="shared" si="5"/>
        <v/>
      </c>
      <c r="C112" s="34">
        <v>98</v>
      </c>
      <c r="D112" s="153"/>
      <c r="E112" s="154"/>
      <c r="F112" s="1775"/>
      <c r="G112" s="155"/>
      <c r="H112" s="156"/>
      <c r="I112" s="154"/>
      <c r="J112" s="157"/>
      <c r="K112" s="156"/>
      <c r="L112" s="154"/>
      <c r="M112" s="609" t="str">
        <f>IF(L112="","",IF(E112="","",IF('1B.TransitionalProg'!$H$8&gt;0,"",VLOOKUP($E112,' 1A.Prop&amp;Residents'!$P$41:$R$47,2,FALSE))))</f>
        <v/>
      </c>
      <c r="N112" s="609" t="str">
        <f>IF(L112="","",IF(E112="","",IF('1B.TransitionalProg'!$H$8&gt;0,"",VLOOKUP($E112,' 1A.Prop&amp;Residents'!$P$41:$R$47,3,FALSE))))</f>
        <v/>
      </c>
      <c r="O112" s="610" t="str">
        <f>IF(L112="", "", IF(E112="", "", IF('1B.TransitionalProg'!$H$8&gt;0,"",IF(L112&lt;M112,"overHOUSED?",IF(L112&gt;N112, "OVERcrowded?","")))))</f>
        <v/>
      </c>
      <c r="P112" s="623"/>
      <c r="Q112" s="154"/>
      <c r="R112" s="154"/>
      <c r="S112" s="156"/>
      <c r="T112" s="156"/>
      <c r="U112" s="156"/>
      <c r="V112" s="156"/>
      <c r="W112" s="1580" t="str">
        <f t="shared" si="3"/>
        <v/>
      </c>
      <c r="X112" s="155"/>
      <c r="Y112" s="156"/>
      <c r="Z112" s="233" t="str">
        <f t="shared" si="4"/>
        <v/>
      </c>
      <c r="AA112" s="1447">
        <f>VLOOKUP($C112,'3B.Demographic'!$C$15:$N$414,6,FALSE)</f>
        <v>0</v>
      </c>
      <c r="AB112" s="1447">
        <f>VLOOKUP($C112,'3B.Demographic'!$C$15:$N$414,7,FALSE)</f>
        <v>0</v>
      </c>
      <c r="AC112" s="1447">
        <f>VLOOKUP($C112,'3B.Demographic'!$C$15:$N$414,8,FALSE)</f>
        <v>0</v>
      </c>
      <c r="AD112" s="1447">
        <f>VLOOKUP($C112,'3B.Demographic'!$C$15:$N$414,9,FALSE)</f>
        <v>0</v>
      </c>
      <c r="AE112" s="1447">
        <f>VLOOKUP($C112,'3B.Demographic'!$C$15:$N$414,10,FALSE)</f>
        <v>0</v>
      </c>
      <c r="AF112" s="1475">
        <f>VLOOKUP($C112,'3B.Demographic'!$C$15:$N$414,11,FALSE)</f>
        <v>0</v>
      </c>
      <c r="AG112" s="1229">
        <f>VLOOKUP($C112,'3B.Demographic'!$C$15:$N$414,12,FALSE)</f>
        <v>0</v>
      </c>
    </row>
    <row r="113" spans="1:33" ht="20.100000000000001" customHeight="1">
      <c r="A113" s="217" t="str">
        <f>IF(D113&lt;&gt;"", ' 1A.Prop&amp;Residents'!$B$7, "")</f>
        <v/>
      </c>
      <c r="B113" s="217" t="str">
        <f t="shared" si="5"/>
        <v/>
      </c>
      <c r="C113" s="34">
        <v>99</v>
      </c>
      <c r="D113" s="153"/>
      <c r="E113" s="154"/>
      <c r="F113" s="1775"/>
      <c r="G113" s="155"/>
      <c r="H113" s="156"/>
      <c r="I113" s="154"/>
      <c r="J113" s="157"/>
      <c r="K113" s="156"/>
      <c r="L113" s="154"/>
      <c r="M113" s="609" t="str">
        <f>IF(L113="","",IF(E113="","",IF('1B.TransitionalProg'!$H$8&gt;0,"",VLOOKUP($E113,' 1A.Prop&amp;Residents'!$P$41:$R$47,2,FALSE))))</f>
        <v/>
      </c>
      <c r="N113" s="609" t="str">
        <f>IF(L113="","",IF(E113="","",IF('1B.TransitionalProg'!$H$8&gt;0,"",VLOOKUP($E113,' 1A.Prop&amp;Residents'!$P$41:$R$47,3,FALSE))))</f>
        <v/>
      </c>
      <c r="O113" s="610" t="str">
        <f>IF(L113="", "", IF(E113="", "", IF('1B.TransitionalProg'!$H$8&gt;0,"",IF(L113&lt;M113,"overHOUSED?",IF(L113&gt;N113, "OVERcrowded?","")))))</f>
        <v/>
      </c>
      <c r="P113" s="623"/>
      <c r="Q113" s="154"/>
      <c r="R113" s="154"/>
      <c r="S113" s="156"/>
      <c r="T113" s="156"/>
      <c r="U113" s="156"/>
      <c r="V113" s="156"/>
      <c r="W113" s="1580" t="str">
        <f t="shared" si="3"/>
        <v/>
      </c>
      <c r="X113" s="155"/>
      <c r="Y113" s="156"/>
      <c r="Z113" s="233" t="str">
        <f t="shared" si="4"/>
        <v/>
      </c>
      <c r="AA113" s="1447">
        <f>VLOOKUP($C113,'3B.Demographic'!$C$15:$N$414,6,FALSE)</f>
        <v>0</v>
      </c>
      <c r="AB113" s="1447">
        <f>VLOOKUP($C113,'3B.Demographic'!$C$15:$N$414,7,FALSE)</f>
        <v>0</v>
      </c>
      <c r="AC113" s="1447">
        <f>VLOOKUP($C113,'3B.Demographic'!$C$15:$N$414,8,FALSE)</f>
        <v>0</v>
      </c>
      <c r="AD113" s="1447">
        <f>VLOOKUP($C113,'3B.Demographic'!$C$15:$N$414,9,FALSE)</f>
        <v>0</v>
      </c>
      <c r="AE113" s="1447">
        <f>VLOOKUP($C113,'3B.Demographic'!$C$15:$N$414,10,FALSE)</f>
        <v>0</v>
      </c>
      <c r="AF113" s="1475">
        <f>VLOOKUP($C113,'3B.Demographic'!$C$15:$N$414,11,FALSE)</f>
        <v>0</v>
      </c>
      <c r="AG113" s="1229">
        <f>VLOOKUP($C113,'3B.Demographic'!$C$15:$N$414,12,FALSE)</f>
        <v>0</v>
      </c>
    </row>
    <row r="114" spans="1:33" ht="20.100000000000001" customHeight="1">
      <c r="A114" s="217" t="str">
        <f>IF(D114&lt;&gt;"", ' 1A.Prop&amp;Residents'!$B$7, "")</f>
        <v/>
      </c>
      <c r="B114" s="217" t="str">
        <f t="shared" si="5"/>
        <v/>
      </c>
      <c r="C114" s="34">
        <v>100</v>
      </c>
      <c r="D114" s="153"/>
      <c r="E114" s="154"/>
      <c r="F114" s="1775"/>
      <c r="G114" s="155"/>
      <c r="H114" s="156"/>
      <c r="I114" s="154"/>
      <c r="J114" s="157"/>
      <c r="K114" s="156"/>
      <c r="L114" s="154"/>
      <c r="M114" s="609" t="str">
        <f>IF(L114="","",IF(E114="","",IF('1B.TransitionalProg'!$H$8&gt;0,"",VLOOKUP($E114,' 1A.Prop&amp;Residents'!$P$41:$R$47,2,FALSE))))</f>
        <v/>
      </c>
      <c r="N114" s="609" t="str">
        <f>IF(L114="","",IF(E114="","",IF('1B.TransitionalProg'!$H$8&gt;0,"",VLOOKUP($E114,' 1A.Prop&amp;Residents'!$P$41:$R$47,3,FALSE))))</f>
        <v/>
      </c>
      <c r="O114" s="610" t="str">
        <f>IF(L114="", "", IF(E114="", "", IF('1B.TransitionalProg'!$H$8&gt;0,"",IF(L114&lt;M114,"overHOUSED?",IF(L114&gt;N114, "OVERcrowded?","")))))</f>
        <v/>
      </c>
      <c r="P114" s="623"/>
      <c r="Q114" s="154"/>
      <c r="R114" s="154"/>
      <c r="S114" s="156"/>
      <c r="T114" s="156"/>
      <c r="U114" s="156"/>
      <c r="V114" s="156"/>
      <c r="W114" s="1580" t="str">
        <f t="shared" si="3"/>
        <v/>
      </c>
      <c r="X114" s="155"/>
      <c r="Y114" s="156"/>
      <c r="Z114" s="233" t="str">
        <f t="shared" si="4"/>
        <v/>
      </c>
      <c r="AA114" s="1447">
        <f>VLOOKUP($C114,'3B.Demographic'!$C$15:$N$414,6,FALSE)</f>
        <v>0</v>
      </c>
      <c r="AB114" s="1447">
        <f>VLOOKUP($C114,'3B.Demographic'!$C$15:$N$414,7,FALSE)</f>
        <v>0</v>
      </c>
      <c r="AC114" s="1447">
        <f>VLOOKUP($C114,'3B.Demographic'!$C$15:$N$414,8,FALSE)</f>
        <v>0</v>
      </c>
      <c r="AD114" s="1447">
        <f>VLOOKUP($C114,'3B.Demographic'!$C$15:$N$414,9,FALSE)</f>
        <v>0</v>
      </c>
      <c r="AE114" s="1447">
        <f>VLOOKUP($C114,'3B.Demographic'!$C$15:$N$414,10,FALSE)</f>
        <v>0</v>
      </c>
      <c r="AF114" s="1475">
        <f>VLOOKUP($C114,'3B.Demographic'!$C$15:$N$414,11,FALSE)</f>
        <v>0</v>
      </c>
      <c r="AG114" s="1229">
        <f>VLOOKUP($C114,'3B.Demographic'!$C$15:$N$414,12,FALSE)</f>
        <v>0</v>
      </c>
    </row>
    <row r="115" spans="1:33" ht="20.100000000000001" customHeight="1">
      <c r="A115" s="217" t="str">
        <f>IF(D115&lt;&gt;"", ' 1A.Prop&amp;Residents'!$B$7, "")</f>
        <v/>
      </c>
      <c r="B115" s="217" t="str">
        <f t="shared" si="5"/>
        <v/>
      </c>
      <c r="C115" s="34">
        <v>101</v>
      </c>
      <c r="D115" s="153"/>
      <c r="E115" s="154"/>
      <c r="F115" s="1775"/>
      <c r="G115" s="155"/>
      <c r="H115" s="156"/>
      <c r="I115" s="154"/>
      <c r="J115" s="157"/>
      <c r="K115" s="156"/>
      <c r="L115" s="154"/>
      <c r="M115" s="609" t="str">
        <f>IF(L115="","",IF(E115="","",IF('1B.TransitionalProg'!$H$8&gt;0,"",VLOOKUP($E115,' 1A.Prop&amp;Residents'!$P$41:$R$47,2,FALSE))))</f>
        <v/>
      </c>
      <c r="N115" s="609" t="str">
        <f>IF(L115="","",IF(E115="","",IF('1B.TransitionalProg'!$H$8&gt;0,"",VLOOKUP($E115,' 1A.Prop&amp;Residents'!$P$41:$R$47,3,FALSE))))</f>
        <v/>
      </c>
      <c r="O115" s="610" t="str">
        <f>IF(L115="", "", IF(E115="", "", IF('1B.TransitionalProg'!$H$8&gt;0,"",IF(L115&lt;M115,"overHOUSED?",IF(L115&gt;N115, "OVERcrowded?","")))))</f>
        <v/>
      </c>
      <c r="P115" s="623"/>
      <c r="Q115" s="154"/>
      <c r="R115" s="154"/>
      <c r="S115" s="156"/>
      <c r="T115" s="156"/>
      <c r="U115" s="156"/>
      <c r="V115" s="156"/>
      <c r="W115" s="1580" t="str">
        <f t="shared" si="3"/>
        <v/>
      </c>
      <c r="X115" s="155"/>
      <c r="Y115" s="156"/>
      <c r="Z115" s="233" t="str">
        <f t="shared" si="4"/>
        <v/>
      </c>
      <c r="AA115" s="1447">
        <f>VLOOKUP($C115,'3B.Demographic'!$C$15:$N$414,6,FALSE)</f>
        <v>0</v>
      </c>
      <c r="AB115" s="1447">
        <f>VLOOKUP($C115,'3B.Demographic'!$C$15:$N$414,7,FALSE)</f>
        <v>0</v>
      </c>
      <c r="AC115" s="1447">
        <f>VLOOKUP($C115,'3B.Demographic'!$C$15:$N$414,8,FALSE)</f>
        <v>0</v>
      </c>
      <c r="AD115" s="1447">
        <f>VLOOKUP($C115,'3B.Demographic'!$C$15:$N$414,9,FALSE)</f>
        <v>0</v>
      </c>
      <c r="AE115" s="1447">
        <f>VLOOKUP($C115,'3B.Demographic'!$C$15:$N$414,10,FALSE)</f>
        <v>0</v>
      </c>
      <c r="AF115" s="1475">
        <f>VLOOKUP($C115,'3B.Demographic'!$C$15:$N$414,11,FALSE)</f>
        <v>0</v>
      </c>
      <c r="AG115" s="1229">
        <f>VLOOKUP($C115,'3B.Demographic'!$C$15:$N$414,12,FALSE)</f>
        <v>0</v>
      </c>
    </row>
    <row r="116" spans="1:33" ht="20.100000000000001" customHeight="1">
      <c r="A116" s="217" t="str">
        <f>IF(D116&lt;&gt;"", ' 1A.Prop&amp;Residents'!$B$7, "")</f>
        <v/>
      </c>
      <c r="B116" s="217" t="str">
        <f t="shared" si="5"/>
        <v/>
      </c>
      <c r="C116" s="34">
        <v>102</v>
      </c>
      <c r="D116" s="153"/>
      <c r="E116" s="154"/>
      <c r="F116" s="1775"/>
      <c r="G116" s="155"/>
      <c r="H116" s="156"/>
      <c r="I116" s="154"/>
      <c r="J116" s="157"/>
      <c r="K116" s="156"/>
      <c r="L116" s="154"/>
      <c r="M116" s="609" t="str">
        <f>IF(L116="","",IF(E116="","",IF('1B.TransitionalProg'!$H$8&gt;0,"",VLOOKUP($E116,' 1A.Prop&amp;Residents'!$P$41:$R$47,2,FALSE))))</f>
        <v/>
      </c>
      <c r="N116" s="609" t="str">
        <f>IF(L116="","",IF(E116="","",IF('1B.TransitionalProg'!$H$8&gt;0,"",VLOOKUP($E116,' 1A.Prop&amp;Residents'!$P$41:$R$47,3,FALSE))))</f>
        <v/>
      </c>
      <c r="O116" s="610" t="str">
        <f>IF(L116="", "", IF(E116="", "", IF('1B.TransitionalProg'!$H$8&gt;0,"",IF(L116&lt;M116,"overHOUSED?",IF(L116&gt;N116, "OVERcrowded?","")))))</f>
        <v/>
      </c>
      <c r="P116" s="623"/>
      <c r="Q116" s="154"/>
      <c r="R116" s="154"/>
      <c r="S116" s="156"/>
      <c r="T116" s="156"/>
      <c r="U116" s="156"/>
      <c r="V116" s="156"/>
      <c r="W116" s="1580" t="str">
        <f t="shared" si="3"/>
        <v/>
      </c>
      <c r="X116" s="155"/>
      <c r="Y116" s="156"/>
      <c r="Z116" s="233" t="str">
        <f t="shared" si="4"/>
        <v/>
      </c>
      <c r="AA116" s="1447">
        <f>VLOOKUP($C116,'3B.Demographic'!$C$15:$N$414,6,FALSE)</f>
        <v>0</v>
      </c>
      <c r="AB116" s="1447">
        <f>VLOOKUP($C116,'3B.Demographic'!$C$15:$N$414,7,FALSE)</f>
        <v>0</v>
      </c>
      <c r="AC116" s="1447">
        <f>VLOOKUP($C116,'3B.Demographic'!$C$15:$N$414,8,FALSE)</f>
        <v>0</v>
      </c>
      <c r="AD116" s="1447">
        <f>VLOOKUP($C116,'3B.Demographic'!$C$15:$N$414,9,FALSE)</f>
        <v>0</v>
      </c>
      <c r="AE116" s="1447">
        <f>VLOOKUP($C116,'3B.Demographic'!$C$15:$N$414,10,FALSE)</f>
        <v>0</v>
      </c>
      <c r="AF116" s="1475">
        <f>VLOOKUP($C116,'3B.Demographic'!$C$15:$N$414,11,FALSE)</f>
        <v>0</v>
      </c>
      <c r="AG116" s="1229">
        <f>VLOOKUP($C116,'3B.Demographic'!$C$15:$N$414,12,FALSE)</f>
        <v>0</v>
      </c>
    </row>
    <row r="117" spans="1:33" ht="20.100000000000001" customHeight="1">
      <c r="A117" s="217" t="str">
        <f>IF(D117&lt;&gt;"", ' 1A.Prop&amp;Residents'!$B$7, "")</f>
        <v/>
      </c>
      <c r="B117" s="217" t="str">
        <f t="shared" si="5"/>
        <v/>
      </c>
      <c r="C117" s="34">
        <v>103</v>
      </c>
      <c r="D117" s="153"/>
      <c r="E117" s="154"/>
      <c r="F117" s="1775"/>
      <c r="G117" s="155"/>
      <c r="H117" s="156"/>
      <c r="I117" s="154"/>
      <c r="J117" s="157"/>
      <c r="K117" s="156"/>
      <c r="L117" s="154"/>
      <c r="M117" s="609" t="str">
        <f>IF(L117="","",IF(E117="","",IF('1B.TransitionalProg'!$H$8&gt;0,"",VLOOKUP($E117,' 1A.Prop&amp;Residents'!$P$41:$R$47,2,FALSE))))</f>
        <v/>
      </c>
      <c r="N117" s="609" t="str">
        <f>IF(L117="","",IF(E117="","",IF('1B.TransitionalProg'!$H$8&gt;0,"",VLOOKUP($E117,' 1A.Prop&amp;Residents'!$P$41:$R$47,3,FALSE))))</f>
        <v/>
      </c>
      <c r="O117" s="610" t="str">
        <f>IF(L117="", "", IF(E117="", "", IF('1B.TransitionalProg'!$H$8&gt;0,"",IF(L117&lt;M117,"overHOUSED?",IF(L117&gt;N117, "OVERcrowded?","")))))</f>
        <v/>
      </c>
      <c r="P117" s="623"/>
      <c r="Q117" s="154"/>
      <c r="R117" s="154"/>
      <c r="S117" s="156"/>
      <c r="T117" s="156"/>
      <c r="U117" s="156"/>
      <c r="V117" s="156"/>
      <c r="W117" s="1580" t="str">
        <f t="shared" si="3"/>
        <v/>
      </c>
      <c r="X117" s="155"/>
      <c r="Y117" s="156"/>
      <c r="Z117" s="233" t="str">
        <f t="shared" si="4"/>
        <v/>
      </c>
      <c r="AA117" s="1447">
        <f>VLOOKUP($C117,'3B.Demographic'!$C$15:$N$414,6,FALSE)</f>
        <v>0</v>
      </c>
      <c r="AB117" s="1447">
        <f>VLOOKUP($C117,'3B.Demographic'!$C$15:$N$414,7,FALSE)</f>
        <v>0</v>
      </c>
      <c r="AC117" s="1447">
        <f>VLOOKUP($C117,'3B.Demographic'!$C$15:$N$414,8,FALSE)</f>
        <v>0</v>
      </c>
      <c r="AD117" s="1447">
        <f>VLOOKUP($C117,'3B.Demographic'!$C$15:$N$414,9,FALSE)</f>
        <v>0</v>
      </c>
      <c r="AE117" s="1447">
        <f>VLOOKUP($C117,'3B.Demographic'!$C$15:$N$414,10,FALSE)</f>
        <v>0</v>
      </c>
      <c r="AF117" s="1475">
        <f>VLOOKUP($C117,'3B.Demographic'!$C$15:$N$414,11,FALSE)</f>
        <v>0</v>
      </c>
      <c r="AG117" s="1229">
        <f>VLOOKUP($C117,'3B.Demographic'!$C$15:$N$414,12,FALSE)</f>
        <v>0</v>
      </c>
    </row>
    <row r="118" spans="1:33" ht="20.100000000000001" customHeight="1">
      <c r="A118" s="217" t="str">
        <f>IF(D118&lt;&gt;"", ' 1A.Prop&amp;Residents'!$B$7, "")</f>
        <v/>
      </c>
      <c r="B118" s="217" t="str">
        <f t="shared" si="5"/>
        <v/>
      </c>
      <c r="C118" s="34">
        <v>104</v>
      </c>
      <c r="D118" s="153"/>
      <c r="E118" s="154"/>
      <c r="F118" s="1775"/>
      <c r="G118" s="155"/>
      <c r="H118" s="156"/>
      <c r="I118" s="154"/>
      <c r="J118" s="157"/>
      <c r="K118" s="156"/>
      <c r="L118" s="154"/>
      <c r="M118" s="609" t="str">
        <f>IF(L118="","",IF(E118="","",IF('1B.TransitionalProg'!$H$8&gt;0,"",VLOOKUP($E118,' 1A.Prop&amp;Residents'!$P$41:$R$47,2,FALSE))))</f>
        <v/>
      </c>
      <c r="N118" s="609" t="str">
        <f>IF(L118="","",IF(E118="","",IF('1B.TransitionalProg'!$H$8&gt;0,"",VLOOKUP($E118,' 1A.Prop&amp;Residents'!$P$41:$R$47,3,FALSE))))</f>
        <v/>
      </c>
      <c r="O118" s="610" t="str">
        <f>IF(L118="", "", IF(E118="", "", IF('1B.TransitionalProg'!$H$8&gt;0,"",IF(L118&lt;M118,"overHOUSED?",IF(L118&gt;N118, "OVERcrowded?","")))))</f>
        <v/>
      </c>
      <c r="P118" s="623"/>
      <c r="Q118" s="154"/>
      <c r="R118" s="154"/>
      <c r="S118" s="156"/>
      <c r="T118" s="156"/>
      <c r="U118" s="156"/>
      <c r="V118" s="156"/>
      <c r="W118" s="1580" t="str">
        <f t="shared" si="3"/>
        <v/>
      </c>
      <c r="X118" s="155"/>
      <c r="Y118" s="156"/>
      <c r="Z118" s="233" t="str">
        <f t="shared" si="4"/>
        <v/>
      </c>
      <c r="AA118" s="1447">
        <f>VLOOKUP($C118,'3B.Demographic'!$C$15:$N$414,6,FALSE)</f>
        <v>0</v>
      </c>
      <c r="AB118" s="1447">
        <f>VLOOKUP($C118,'3B.Demographic'!$C$15:$N$414,7,FALSE)</f>
        <v>0</v>
      </c>
      <c r="AC118" s="1447">
        <f>VLOOKUP($C118,'3B.Demographic'!$C$15:$N$414,8,FALSE)</f>
        <v>0</v>
      </c>
      <c r="AD118" s="1447">
        <f>VLOOKUP($C118,'3B.Demographic'!$C$15:$N$414,9,FALSE)</f>
        <v>0</v>
      </c>
      <c r="AE118" s="1447">
        <f>VLOOKUP($C118,'3B.Demographic'!$C$15:$N$414,10,FALSE)</f>
        <v>0</v>
      </c>
      <c r="AF118" s="1475">
        <f>VLOOKUP($C118,'3B.Demographic'!$C$15:$N$414,11,FALSE)</f>
        <v>0</v>
      </c>
      <c r="AG118" s="1229">
        <f>VLOOKUP($C118,'3B.Demographic'!$C$15:$N$414,12,FALSE)</f>
        <v>0</v>
      </c>
    </row>
    <row r="119" spans="1:33" ht="20.100000000000001" customHeight="1">
      <c r="A119" s="217" t="str">
        <f>IF(D119&lt;&gt;"", ' 1A.Prop&amp;Residents'!$B$7, "")</f>
        <v/>
      </c>
      <c r="B119" s="217" t="str">
        <f t="shared" si="5"/>
        <v/>
      </c>
      <c r="C119" s="34">
        <v>105</v>
      </c>
      <c r="D119" s="153"/>
      <c r="E119" s="154"/>
      <c r="F119" s="1775"/>
      <c r="G119" s="155"/>
      <c r="H119" s="156"/>
      <c r="I119" s="154"/>
      <c r="J119" s="157"/>
      <c r="K119" s="156"/>
      <c r="L119" s="154"/>
      <c r="M119" s="609" t="str">
        <f>IF(L119="","",IF(E119="","",IF('1B.TransitionalProg'!$H$8&gt;0,"",VLOOKUP($E119,' 1A.Prop&amp;Residents'!$P$41:$R$47,2,FALSE))))</f>
        <v/>
      </c>
      <c r="N119" s="609" t="str">
        <f>IF(L119="","",IF(E119="","",IF('1B.TransitionalProg'!$H$8&gt;0,"",VLOOKUP($E119,' 1A.Prop&amp;Residents'!$P$41:$R$47,3,FALSE))))</f>
        <v/>
      </c>
      <c r="O119" s="610" t="str">
        <f>IF(L119="", "", IF(E119="", "", IF('1B.TransitionalProg'!$H$8&gt;0,"",IF(L119&lt;M119,"overHOUSED?",IF(L119&gt;N119, "OVERcrowded?","")))))</f>
        <v/>
      </c>
      <c r="P119" s="623"/>
      <c r="Q119" s="154"/>
      <c r="R119" s="154"/>
      <c r="S119" s="156"/>
      <c r="T119" s="156"/>
      <c r="U119" s="156"/>
      <c r="V119" s="156"/>
      <c r="W119" s="1580" t="str">
        <f t="shared" si="3"/>
        <v/>
      </c>
      <c r="X119" s="155"/>
      <c r="Y119" s="156"/>
      <c r="Z119" s="233" t="str">
        <f t="shared" si="4"/>
        <v/>
      </c>
      <c r="AA119" s="1447">
        <f>VLOOKUP($C119,'3B.Demographic'!$C$15:$N$414,6,FALSE)</f>
        <v>0</v>
      </c>
      <c r="AB119" s="1447">
        <f>VLOOKUP($C119,'3B.Demographic'!$C$15:$N$414,7,FALSE)</f>
        <v>0</v>
      </c>
      <c r="AC119" s="1447">
        <f>VLOOKUP($C119,'3B.Demographic'!$C$15:$N$414,8,FALSE)</f>
        <v>0</v>
      </c>
      <c r="AD119" s="1447">
        <f>VLOOKUP($C119,'3B.Demographic'!$C$15:$N$414,9,FALSE)</f>
        <v>0</v>
      </c>
      <c r="AE119" s="1447">
        <f>VLOOKUP($C119,'3B.Demographic'!$C$15:$N$414,10,FALSE)</f>
        <v>0</v>
      </c>
      <c r="AF119" s="1475">
        <f>VLOOKUP($C119,'3B.Demographic'!$C$15:$N$414,11,FALSE)</f>
        <v>0</v>
      </c>
      <c r="AG119" s="1229">
        <f>VLOOKUP($C119,'3B.Demographic'!$C$15:$N$414,12,FALSE)</f>
        <v>0</v>
      </c>
    </row>
    <row r="120" spans="1:33" ht="20.100000000000001" customHeight="1">
      <c r="A120" s="217" t="str">
        <f>IF(D120&lt;&gt;"", ' 1A.Prop&amp;Residents'!$B$7, "")</f>
        <v/>
      </c>
      <c r="B120" s="217" t="str">
        <f t="shared" si="5"/>
        <v/>
      </c>
      <c r="C120" s="34">
        <v>106</v>
      </c>
      <c r="D120" s="153"/>
      <c r="E120" s="154"/>
      <c r="F120" s="1775"/>
      <c r="G120" s="155"/>
      <c r="H120" s="156"/>
      <c r="I120" s="154"/>
      <c r="J120" s="157"/>
      <c r="K120" s="156"/>
      <c r="L120" s="154"/>
      <c r="M120" s="609" t="str">
        <f>IF(L120="","",IF(E120="","",IF('1B.TransitionalProg'!$H$8&gt;0,"",VLOOKUP($E120,' 1A.Prop&amp;Residents'!$P$41:$R$47,2,FALSE))))</f>
        <v/>
      </c>
      <c r="N120" s="609" t="str">
        <f>IF(L120="","",IF(E120="","",IF('1B.TransitionalProg'!$H$8&gt;0,"",VLOOKUP($E120,' 1A.Prop&amp;Residents'!$P$41:$R$47,3,FALSE))))</f>
        <v/>
      </c>
      <c r="O120" s="610" t="str">
        <f>IF(L120="", "", IF(E120="", "", IF('1B.TransitionalProg'!$H$8&gt;0,"",IF(L120&lt;M120,"overHOUSED?",IF(L120&gt;N120, "OVERcrowded?","")))))</f>
        <v/>
      </c>
      <c r="P120" s="623"/>
      <c r="Q120" s="154"/>
      <c r="R120" s="154"/>
      <c r="S120" s="156"/>
      <c r="T120" s="156"/>
      <c r="U120" s="156"/>
      <c r="V120" s="156"/>
      <c r="W120" s="1580" t="str">
        <f t="shared" si="3"/>
        <v/>
      </c>
      <c r="X120" s="155"/>
      <c r="Y120" s="156"/>
      <c r="Z120" s="233" t="str">
        <f t="shared" si="4"/>
        <v/>
      </c>
      <c r="AA120" s="1447">
        <f>VLOOKUP($C120,'3B.Demographic'!$C$15:$N$414,6,FALSE)</f>
        <v>0</v>
      </c>
      <c r="AB120" s="1447">
        <f>VLOOKUP($C120,'3B.Demographic'!$C$15:$N$414,7,FALSE)</f>
        <v>0</v>
      </c>
      <c r="AC120" s="1447">
        <f>VLOOKUP($C120,'3B.Demographic'!$C$15:$N$414,8,FALSE)</f>
        <v>0</v>
      </c>
      <c r="AD120" s="1447">
        <f>VLOOKUP($C120,'3B.Demographic'!$C$15:$N$414,9,FALSE)</f>
        <v>0</v>
      </c>
      <c r="AE120" s="1447">
        <f>VLOOKUP($C120,'3B.Demographic'!$C$15:$N$414,10,FALSE)</f>
        <v>0</v>
      </c>
      <c r="AF120" s="1475">
        <f>VLOOKUP($C120,'3B.Demographic'!$C$15:$N$414,11,FALSE)</f>
        <v>0</v>
      </c>
      <c r="AG120" s="1229">
        <f>VLOOKUP($C120,'3B.Demographic'!$C$15:$N$414,12,FALSE)</f>
        <v>0</v>
      </c>
    </row>
    <row r="121" spans="1:33" ht="20.100000000000001" customHeight="1">
      <c r="A121" s="217" t="str">
        <f>IF(D121&lt;&gt;"", ' 1A.Prop&amp;Residents'!$B$7, "")</f>
        <v/>
      </c>
      <c r="B121" s="217" t="str">
        <f t="shared" si="5"/>
        <v/>
      </c>
      <c r="C121" s="34">
        <v>107</v>
      </c>
      <c r="D121" s="153"/>
      <c r="E121" s="154"/>
      <c r="F121" s="1775"/>
      <c r="G121" s="155"/>
      <c r="H121" s="156"/>
      <c r="I121" s="154"/>
      <c r="J121" s="157"/>
      <c r="K121" s="156"/>
      <c r="L121" s="154"/>
      <c r="M121" s="609" t="str">
        <f>IF(L121="","",IF(E121="","",IF('1B.TransitionalProg'!$H$8&gt;0,"",VLOOKUP($E121,' 1A.Prop&amp;Residents'!$P$41:$R$47,2,FALSE))))</f>
        <v/>
      </c>
      <c r="N121" s="609" t="str">
        <f>IF(L121="","",IF(E121="","",IF('1B.TransitionalProg'!$H$8&gt;0,"",VLOOKUP($E121,' 1A.Prop&amp;Residents'!$P$41:$R$47,3,FALSE))))</f>
        <v/>
      </c>
      <c r="O121" s="610" t="str">
        <f>IF(L121="", "", IF(E121="", "", IF('1B.TransitionalProg'!$H$8&gt;0,"",IF(L121&lt;M121,"overHOUSED?",IF(L121&gt;N121, "OVERcrowded?","")))))</f>
        <v/>
      </c>
      <c r="P121" s="623"/>
      <c r="Q121" s="154"/>
      <c r="R121" s="154"/>
      <c r="S121" s="156"/>
      <c r="T121" s="156"/>
      <c r="U121" s="156"/>
      <c r="V121" s="156"/>
      <c r="W121" s="1580" t="str">
        <f t="shared" si="3"/>
        <v/>
      </c>
      <c r="X121" s="155"/>
      <c r="Y121" s="156"/>
      <c r="Z121" s="233" t="str">
        <f t="shared" si="4"/>
        <v/>
      </c>
      <c r="AA121" s="1447">
        <f>VLOOKUP($C121,'3B.Demographic'!$C$15:$N$414,6,FALSE)</f>
        <v>0</v>
      </c>
      <c r="AB121" s="1447">
        <f>VLOOKUP($C121,'3B.Demographic'!$C$15:$N$414,7,FALSE)</f>
        <v>0</v>
      </c>
      <c r="AC121" s="1447">
        <f>VLOOKUP($C121,'3B.Demographic'!$C$15:$N$414,8,FALSE)</f>
        <v>0</v>
      </c>
      <c r="AD121" s="1447">
        <f>VLOOKUP($C121,'3B.Demographic'!$C$15:$N$414,9,FALSE)</f>
        <v>0</v>
      </c>
      <c r="AE121" s="1447">
        <f>VLOOKUP($C121,'3B.Demographic'!$C$15:$N$414,10,FALSE)</f>
        <v>0</v>
      </c>
      <c r="AF121" s="1475">
        <f>VLOOKUP($C121,'3B.Demographic'!$C$15:$N$414,11,FALSE)</f>
        <v>0</v>
      </c>
      <c r="AG121" s="1229">
        <f>VLOOKUP($C121,'3B.Demographic'!$C$15:$N$414,12,FALSE)</f>
        <v>0</v>
      </c>
    </row>
    <row r="122" spans="1:33" ht="20.100000000000001" customHeight="1">
      <c r="A122" s="217" t="str">
        <f>IF(D122&lt;&gt;"", ' 1A.Prop&amp;Residents'!$B$7, "")</f>
        <v/>
      </c>
      <c r="B122" s="217" t="str">
        <f t="shared" si="5"/>
        <v/>
      </c>
      <c r="C122" s="34">
        <v>108</v>
      </c>
      <c r="D122" s="153"/>
      <c r="E122" s="154"/>
      <c r="F122" s="1775"/>
      <c r="G122" s="155"/>
      <c r="H122" s="156"/>
      <c r="I122" s="154"/>
      <c r="J122" s="157"/>
      <c r="K122" s="156"/>
      <c r="L122" s="154"/>
      <c r="M122" s="609" t="str">
        <f>IF(L122="","",IF(E122="","",IF('1B.TransitionalProg'!$H$8&gt;0,"",VLOOKUP($E122,' 1A.Prop&amp;Residents'!$P$41:$R$47,2,FALSE))))</f>
        <v/>
      </c>
      <c r="N122" s="609" t="str">
        <f>IF(L122="","",IF(E122="","",IF('1B.TransitionalProg'!$H$8&gt;0,"",VLOOKUP($E122,' 1A.Prop&amp;Residents'!$P$41:$R$47,3,FALSE))))</f>
        <v/>
      </c>
      <c r="O122" s="610" t="str">
        <f>IF(L122="", "", IF(E122="", "", IF('1B.TransitionalProg'!$H$8&gt;0,"",IF(L122&lt;M122,"overHOUSED?",IF(L122&gt;N122, "OVERcrowded?","")))))</f>
        <v/>
      </c>
      <c r="P122" s="623"/>
      <c r="Q122" s="154"/>
      <c r="R122" s="154"/>
      <c r="S122" s="156"/>
      <c r="T122" s="156"/>
      <c r="U122" s="156"/>
      <c r="V122" s="156"/>
      <c r="W122" s="1580" t="str">
        <f t="shared" si="3"/>
        <v/>
      </c>
      <c r="X122" s="155"/>
      <c r="Y122" s="156"/>
      <c r="Z122" s="233" t="str">
        <f t="shared" si="4"/>
        <v/>
      </c>
      <c r="AA122" s="1447">
        <f>VLOOKUP($C122,'3B.Demographic'!$C$15:$N$414,6,FALSE)</f>
        <v>0</v>
      </c>
      <c r="AB122" s="1447">
        <f>VLOOKUP($C122,'3B.Demographic'!$C$15:$N$414,7,FALSE)</f>
        <v>0</v>
      </c>
      <c r="AC122" s="1447">
        <f>VLOOKUP($C122,'3B.Demographic'!$C$15:$N$414,8,FALSE)</f>
        <v>0</v>
      </c>
      <c r="AD122" s="1447">
        <f>VLOOKUP($C122,'3B.Demographic'!$C$15:$N$414,9,FALSE)</f>
        <v>0</v>
      </c>
      <c r="AE122" s="1447">
        <f>VLOOKUP($C122,'3B.Demographic'!$C$15:$N$414,10,FALSE)</f>
        <v>0</v>
      </c>
      <c r="AF122" s="1475">
        <f>VLOOKUP($C122,'3B.Demographic'!$C$15:$N$414,11,FALSE)</f>
        <v>0</v>
      </c>
      <c r="AG122" s="1229">
        <f>VLOOKUP($C122,'3B.Demographic'!$C$15:$N$414,12,FALSE)</f>
        <v>0</v>
      </c>
    </row>
    <row r="123" spans="1:33" ht="20.100000000000001" customHeight="1">
      <c r="A123" s="217" t="str">
        <f>IF(D123&lt;&gt;"", ' 1A.Prop&amp;Residents'!$B$7, "")</f>
        <v/>
      </c>
      <c r="B123" s="217" t="str">
        <f t="shared" si="5"/>
        <v/>
      </c>
      <c r="C123" s="34">
        <v>109</v>
      </c>
      <c r="D123" s="153"/>
      <c r="E123" s="154"/>
      <c r="F123" s="1775"/>
      <c r="G123" s="155"/>
      <c r="H123" s="156"/>
      <c r="I123" s="154"/>
      <c r="J123" s="157"/>
      <c r="K123" s="156"/>
      <c r="L123" s="154"/>
      <c r="M123" s="609" t="str">
        <f>IF(L123="","",IF(E123="","",IF('1B.TransitionalProg'!$H$8&gt;0,"",VLOOKUP($E123,' 1A.Prop&amp;Residents'!$P$41:$R$47,2,FALSE))))</f>
        <v/>
      </c>
      <c r="N123" s="609" t="str">
        <f>IF(L123="","",IF(E123="","",IF('1B.TransitionalProg'!$H$8&gt;0,"",VLOOKUP($E123,' 1A.Prop&amp;Residents'!$P$41:$R$47,3,FALSE))))</f>
        <v/>
      </c>
      <c r="O123" s="610" t="str">
        <f>IF(L123="", "", IF(E123="", "", IF('1B.TransitionalProg'!$H$8&gt;0,"",IF(L123&lt;M123,"overHOUSED?",IF(L123&gt;N123, "OVERcrowded?","")))))</f>
        <v/>
      </c>
      <c r="P123" s="623"/>
      <c r="Q123" s="154"/>
      <c r="R123" s="154"/>
      <c r="S123" s="156"/>
      <c r="T123" s="156"/>
      <c r="U123" s="156"/>
      <c r="V123" s="156"/>
      <c r="W123" s="1580" t="str">
        <f t="shared" si="3"/>
        <v/>
      </c>
      <c r="X123" s="155"/>
      <c r="Y123" s="156"/>
      <c r="Z123" s="233" t="str">
        <f t="shared" si="4"/>
        <v/>
      </c>
      <c r="AA123" s="1447">
        <f>VLOOKUP($C123,'3B.Demographic'!$C$15:$N$414,6,FALSE)</f>
        <v>0</v>
      </c>
      <c r="AB123" s="1447">
        <f>VLOOKUP($C123,'3B.Demographic'!$C$15:$N$414,7,FALSE)</f>
        <v>0</v>
      </c>
      <c r="AC123" s="1447">
        <f>VLOOKUP($C123,'3B.Demographic'!$C$15:$N$414,8,FALSE)</f>
        <v>0</v>
      </c>
      <c r="AD123" s="1447">
        <f>VLOOKUP($C123,'3B.Demographic'!$C$15:$N$414,9,FALSE)</f>
        <v>0</v>
      </c>
      <c r="AE123" s="1447">
        <f>VLOOKUP($C123,'3B.Demographic'!$C$15:$N$414,10,FALSE)</f>
        <v>0</v>
      </c>
      <c r="AF123" s="1475">
        <f>VLOOKUP($C123,'3B.Demographic'!$C$15:$N$414,11,FALSE)</f>
        <v>0</v>
      </c>
      <c r="AG123" s="1229">
        <f>VLOOKUP($C123,'3B.Demographic'!$C$15:$N$414,12,FALSE)</f>
        <v>0</v>
      </c>
    </row>
    <row r="124" spans="1:33" ht="20.100000000000001" customHeight="1">
      <c r="A124" s="217" t="str">
        <f>IF(D124&lt;&gt;"", ' 1A.Prop&amp;Residents'!$B$7, "")</f>
        <v/>
      </c>
      <c r="B124" s="217" t="str">
        <f t="shared" si="5"/>
        <v/>
      </c>
      <c r="C124" s="34">
        <v>110</v>
      </c>
      <c r="D124" s="153"/>
      <c r="E124" s="154"/>
      <c r="F124" s="1775"/>
      <c r="G124" s="155"/>
      <c r="H124" s="156"/>
      <c r="I124" s="154"/>
      <c r="J124" s="157"/>
      <c r="K124" s="156"/>
      <c r="L124" s="154"/>
      <c r="M124" s="609" t="str">
        <f>IF(L124="","",IF(E124="","",IF('1B.TransitionalProg'!$H$8&gt;0,"",VLOOKUP($E124,' 1A.Prop&amp;Residents'!$P$41:$R$47,2,FALSE))))</f>
        <v/>
      </c>
      <c r="N124" s="609" t="str">
        <f>IF(L124="","",IF(E124="","",IF('1B.TransitionalProg'!$H$8&gt;0,"",VLOOKUP($E124,' 1A.Prop&amp;Residents'!$P$41:$R$47,3,FALSE))))</f>
        <v/>
      </c>
      <c r="O124" s="610" t="str">
        <f>IF(L124="", "", IF(E124="", "", IF('1B.TransitionalProg'!$H$8&gt;0,"",IF(L124&lt;M124,"overHOUSED?",IF(L124&gt;N124, "OVERcrowded?","")))))</f>
        <v/>
      </c>
      <c r="P124" s="623"/>
      <c r="Q124" s="154"/>
      <c r="R124" s="154"/>
      <c r="S124" s="156"/>
      <c r="T124" s="156"/>
      <c r="U124" s="156"/>
      <c r="V124" s="156"/>
      <c r="W124" s="1580" t="str">
        <f t="shared" si="3"/>
        <v/>
      </c>
      <c r="X124" s="155"/>
      <c r="Y124" s="156"/>
      <c r="Z124" s="233" t="str">
        <f t="shared" si="4"/>
        <v/>
      </c>
      <c r="AA124" s="1447">
        <f>VLOOKUP($C124,'3B.Demographic'!$C$15:$N$414,6,FALSE)</f>
        <v>0</v>
      </c>
      <c r="AB124" s="1447">
        <f>VLOOKUP($C124,'3B.Demographic'!$C$15:$N$414,7,FALSE)</f>
        <v>0</v>
      </c>
      <c r="AC124" s="1447">
        <f>VLOOKUP($C124,'3B.Demographic'!$C$15:$N$414,8,FALSE)</f>
        <v>0</v>
      </c>
      <c r="AD124" s="1447">
        <f>VLOOKUP($C124,'3B.Demographic'!$C$15:$N$414,9,FALSE)</f>
        <v>0</v>
      </c>
      <c r="AE124" s="1447">
        <f>VLOOKUP($C124,'3B.Demographic'!$C$15:$N$414,10,FALSE)</f>
        <v>0</v>
      </c>
      <c r="AF124" s="1475">
        <f>VLOOKUP($C124,'3B.Demographic'!$C$15:$N$414,11,FALSE)</f>
        <v>0</v>
      </c>
      <c r="AG124" s="1229">
        <f>VLOOKUP($C124,'3B.Demographic'!$C$15:$N$414,12,FALSE)</f>
        <v>0</v>
      </c>
    </row>
    <row r="125" spans="1:33" ht="20.100000000000001" customHeight="1">
      <c r="A125" s="217" t="str">
        <f>IF(D125&lt;&gt;"", ' 1A.Prop&amp;Residents'!$B$7, "")</f>
        <v/>
      </c>
      <c r="B125" s="217" t="str">
        <f t="shared" si="5"/>
        <v/>
      </c>
      <c r="C125" s="34">
        <v>111</v>
      </c>
      <c r="D125" s="153"/>
      <c r="E125" s="154"/>
      <c r="F125" s="1775"/>
      <c r="G125" s="155"/>
      <c r="H125" s="156"/>
      <c r="I125" s="154"/>
      <c r="J125" s="157"/>
      <c r="K125" s="156"/>
      <c r="L125" s="154"/>
      <c r="M125" s="609" t="str">
        <f>IF(L125="","",IF(E125="","",IF('1B.TransitionalProg'!$H$8&gt;0,"",VLOOKUP($E125,' 1A.Prop&amp;Residents'!$P$41:$R$47,2,FALSE))))</f>
        <v/>
      </c>
      <c r="N125" s="609" t="str">
        <f>IF(L125="","",IF(E125="","",IF('1B.TransitionalProg'!$H$8&gt;0,"",VLOOKUP($E125,' 1A.Prop&amp;Residents'!$P$41:$R$47,3,FALSE))))</f>
        <v/>
      </c>
      <c r="O125" s="610" t="str">
        <f>IF(L125="", "", IF(E125="", "", IF('1B.TransitionalProg'!$H$8&gt;0,"",IF(L125&lt;M125,"overHOUSED?",IF(L125&gt;N125, "OVERcrowded?","")))))</f>
        <v/>
      </c>
      <c r="P125" s="623"/>
      <c r="Q125" s="154"/>
      <c r="R125" s="154"/>
      <c r="S125" s="156"/>
      <c r="T125" s="156"/>
      <c r="U125" s="156"/>
      <c r="V125" s="156"/>
      <c r="W125" s="1580" t="str">
        <f t="shared" si="3"/>
        <v/>
      </c>
      <c r="X125" s="155"/>
      <c r="Y125" s="156"/>
      <c r="Z125" s="233" t="str">
        <f t="shared" si="4"/>
        <v/>
      </c>
      <c r="AA125" s="1447">
        <f>VLOOKUP($C125,'3B.Demographic'!$C$15:$N$414,6,FALSE)</f>
        <v>0</v>
      </c>
      <c r="AB125" s="1447">
        <f>VLOOKUP($C125,'3B.Demographic'!$C$15:$N$414,7,FALSE)</f>
        <v>0</v>
      </c>
      <c r="AC125" s="1447">
        <f>VLOOKUP($C125,'3B.Demographic'!$C$15:$N$414,8,FALSE)</f>
        <v>0</v>
      </c>
      <c r="AD125" s="1447">
        <f>VLOOKUP($C125,'3B.Demographic'!$C$15:$N$414,9,FALSE)</f>
        <v>0</v>
      </c>
      <c r="AE125" s="1447">
        <f>VLOOKUP($C125,'3B.Demographic'!$C$15:$N$414,10,FALSE)</f>
        <v>0</v>
      </c>
      <c r="AF125" s="1475">
        <f>VLOOKUP($C125,'3B.Demographic'!$C$15:$N$414,11,FALSE)</f>
        <v>0</v>
      </c>
      <c r="AG125" s="1229">
        <f>VLOOKUP($C125,'3B.Demographic'!$C$15:$N$414,12,FALSE)</f>
        <v>0</v>
      </c>
    </row>
    <row r="126" spans="1:33" ht="20.100000000000001" customHeight="1">
      <c r="A126" s="217" t="str">
        <f>IF(D126&lt;&gt;"", ' 1A.Prop&amp;Residents'!$B$7, "")</f>
        <v/>
      </c>
      <c r="B126" s="217" t="str">
        <f t="shared" si="5"/>
        <v/>
      </c>
      <c r="C126" s="34">
        <v>112</v>
      </c>
      <c r="D126" s="153"/>
      <c r="E126" s="154"/>
      <c r="F126" s="1775"/>
      <c r="G126" s="155"/>
      <c r="H126" s="156"/>
      <c r="I126" s="154"/>
      <c r="J126" s="157"/>
      <c r="K126" s="156"/>
      <c r="L126" s="154"/>
      <c r="M126" s="609" t="str">
        <f>IF(L126="","",IF(E126="","",IF('1B.TransitionalProg'!$H$8&gt;0,"",VLOOKUP($E126,' 1A.Prop&amp;Residents'!$P$41:$R$47,2,FALSE))))</f>
        <v/>
      </c>
      <c r="N126" s="609" t="str">
        <f>IF(L126="","",IF(E126="","",IF('1B.TransitionalProg'!$H$8&gt;0,"",VLOOKUP($E126,' 1A.Prop&amp;Residents'!$P$41:$R$47,3,FALSE))))</f>
        <v/>
      </c>
      <c r="O126" s="610" t="str">
        <f>IF(L126="", "", IF(E126="", "", IF('1B.TransitionalProg'!$H$8&gt;0,"",IF(L126&lt;M126,"overHOUSED?",IF(L126&gt;N126, "OVERcrowded?","")))))</f>
        <v/>
      </c>
      <c r="P126" s="623"/>
      <c r="Q126" s="154"/>
      <c r="R126" s="154"/>
      <c r="S126" s="156"/>
      <c r="T126" s="156"/>
      <c r="U126" s="156"/>
      <c r="V126" s="156"/>
      <c r="W126" s="1580" t="str">
        <f t="shared" si="3"/>
        <v/>
      </c>
      <c r="X126" s="155"/>
      <c r="Y126" s="156"/>
      <c r="Z126" s="233" t="str">
        <f t="shared" si="4"/>
        <v/>
      </c>
      <c r="AA126" s="1447">
        <f>VLOOKUP($C126,'3B.Demographic'!$C$15:$N$414,6,FALSE)</f>
        <v>0</v>
      </c>
      <c r="AB126" s="1447">
        <f>VLOOKUP($C126,'3B.Demographic'!$C$15:$N$414,7,FALSE)</f>
        <v>0</v>
      </c>
      <c r="AC126" s="1447">
        <f>VLOOKUP($C126,'3B.Demographic'!$C$15:$N$414,8,FALSE)</f>
        <v>0</v>
      </c>
      <c r="AD126" s="1447">
        <f>VLOOKUP($C126,'3B.Demographic'!$C$15:$N$414,9,FALSE)</f>
        <v>0</v>
      </c>
      <c r="AE126" s="1447">
        <f>VLOOKUP($C126,'3B.Demographic'!$C$15:$N$414,10,FALSE)</f>
        <v>0</v>
      </c>
      <c r="AF126" s="1475">
        <f>VLOOKUP($C126,'3B.Demographic'!$C$15:$N$414,11,FALSE)</f>
        <v>0</v>
      </c>
      <c r="AG126" s="1229">
        <f>VLOOKUP($C126,'3B.Demographic'!$C$15:$N$414,12,FALSE)</f>
        <v>0</v>
      </c>
    </row>
    <row r="127" spans="1:33" ht="20.100000000000001" customHeight="1">
      <c r="A127" s="217" t="str">
        <f>IF(D127&lt;&gt;"", ' 1A.Prop&amp;Residents'!$B$7, "")</f>
        <v/>
      </c>
      <c r="B127" s="217" t="str">
        <f t="shared" si="5"/>
        <v/>
      </c>
      <c r="C127" s="34">
        <v>113</v>
      </c>
      <c r="D127" s="153"/>
      <c r="E127" s="154"/>
      <c r="F127" s="1775"/>
      <c r="G127" s="155"/>
      <c r="H127" s="156"/>
      <c r="I127" s="154"/>
      <c r="J127" s="157"/>
      <c r="K127" s="156"/>
      <c r="L127" s="154"/>
      <c r="M127" s="609" t="str">
        <f>IF(L127="","",IF(E127="","",IF('1B.TransitionalProg'!$H$8&gt;0,"",VLOOKUP($E127,' 1A.Prop&amp;Residents'!$P$41:$R$47,2,FALSE))))</f>
        <v/>
      </c>
      <c r="N127" s="609" t="str">
        <f>IF(L127="","",IF(E127="","",IF('1B.TransitionalProg'!$H$8&gt;0,"",VLOOKUP($E127,' 1A.Prop&amp;Residents'!$P$41:$R$47,3,FALSE))))</f>
        <v/>
      </c>
      <c r="O127" s="610" t="str">
        <f>IF(L127="", "", IF(E127="", "", IF('1B.TransitionalProg'!$H$8&gt;0,"",IF(L127&lt;M127,"overHOUSED?",IF(L127&gt;N127, "OVERcrowded?","")))))</f>
        <v/>
      </c>
      <c r="P127" s="623"/>
      <c r="Q127" s="154"/>
      <c r="R127" s="154"/>
      <c r="S127" s="156"/>
      <c r="T127" s="156"/>
      <c r="U127" s="156"/>
      <c r="V127" s="156"/>
      <c r="W127" s="1580" t="str">
        <f t="shared" si="3"/>
        <v/>
      </c>
      <c r="X127" s="155"/>
      <c r="Y127" s="156"/>
      <c r="Z127" s="233" t="str">
        <f t="shared" si="4"/>
        <v/>
      </c>
      <c r="AA127" s="1447">
        <f>VLOOKUP($C127,'3B.Demographic'!$C$15:$N$414,6,FALSE)</f>
        <v>0</v>
      </c>
      <c r="AB127" s="1447">
        <f>VLOOKUP($C127,'3B.Demographic'!$C$15:$N$414,7,FALSE)</f>
        <v>0</v>
      </c>
      <c r="AC127" s="1447">
        <f>VLOOKUP($C127,'3B.Demographic'!$C$15:$N$414,8,FALSE)</f>
        <v>0</v>
      </c>
      <c r="AD127" s="1447">
        <f>VLOOKUP($C127,'3B.Demographic'!$C$15:$N$414,9,FALSE)</f>
        <v>0</v>
      </c>
      <c r="AE127" s="1447">
        <f>VLOOKUP($C127,'3B.Demographic'!$C$15:$N$414,10,FALSE)</f>
        <v>0</v>
      </c>
      <c r="AF127" s="1475">
        <f>VLOOKUP($C127,'3B.Demographic'!$C$15:$N$414,11,FALSE)</f>
        <v>0</v>
      </c>
      <c r="AG127" s="1229">
        <f>VLOOKUP($C127,'3B.Demographic'!$C$15:$N$414,12,FALSE)</f>
        <v>0</v>
      </c>
    </row>
    <row r="128" spans="1:33" ht="20.100000000000001" customHeight="1">
      <c r="A128" s="217" t="str">
        <f>IF(D128&lt;&gt;"", ' 1A.Prop&amp;Residents'!$B$7, "")</f>
        <v/>
      </c>
      <c r="B128" s="217" t="str">
        <f t="shared" si="5"/>
        <v/>
      </c>
      <c r="C128" s="34">
        <v>114</v>
      </c>
      <c r="D128" s="153"/>
      <c r="E128" s="154"/>
      <c r="F128" s="1775"/>
      <c r="G128" s="155"/>
      <c r="H128" s="156"/>
      <c r="I128" s="154"/>
      <c r="J128" s="157"/>
      <c r="K128" s="156"/>
      <c r="L128" s="154"/>
      <c r="M128" s="609" t="str">
        <f>IF(L128="","",IF(E128="","",IF('1B.TransitionalProg'!$H$8&gt;0,"",VLOOKUP($E128,' 1A.Prop&amp;Residents'!$P$41:$R$47,2,FALSE))))</f>
        <v/>
      </c>
      <c r="N128" s="609" t="str">
        <f>IF(L128="","",IF(E128="","",IF('1B.TransitionalProg'!$H$8&gt;0,"",VLOOKUP($E128,' 1A.Prop&amp;Residents'!$P$41:$R$47,3,FALSE))))</f>
        <v/>
      </c>
      <c r="O128" s="610" t="str">
        <f>IF(L128="", "", IF(E128="", "", IF('1B.TransitionalProg'!$H$8&gt;0,"",IF(L128&lt;M128,"overHOUSED?",IF(L128&gt;N128, "OVERcrowded?","")))))</f>
        <v/>
      </c>
      <c r="P128" s="623"/>
      <c r="Q128" s="154"/>
      <c r="R128" s="154"/>
      <c r="S128" s="156"/>
      <c r="T128" s="156"/>
      <c r="U128" s="156"/>
      <c r="V128" s="156"/>
      <c r="W128" s="1580" t="str">
        <f t="shared" si="3"/>
        <v/>
      </c>
      <c r="X128" s="155"/>
      <c r="Y128" s="156"/>
      <c r="Z128" s="233" t="str">
        <f t="shared" si="4"/>
        <v/>
      </c>
      <c r="AA128" s="1447">
        <f>VLOOKUP($C128,'3B.Demographic'!$C$15:$N$414,6,FALSE)</f>
        <v>0</v>
      </c>
      <c r="AB128" s="1447">
        <f>VLOOKUP($C128,'3B.Demographic'!$C$15:$N$414,7,FALSE)</f>
        <v>0</v>
      </c>
      <c r="AC128" s="1447">
        <f>VLOOKUP($C128,'3B.Demographic'!$C$15:$N$414,8,FALSE)</f>
        <v>0</v>
      </c>
      <c r="AD128" s="1447">
        <f>VLOOKUP($C128,'3B.Demographic'!$C$15:$N$414,9,FALSE)</f>
        <v>0</v>
      </c>
      <c r="AE128" s="1447">
        <f>VLOOKUP($C128,'3B.Demographic'!$C$15:$N$414,10,FALSE)</f>
        <v>0</v>
      </c>
      <c r="AF128" s="1475">
        <f>VLOOKUP($C128,'3B.Demographic'!$C$15:$N$414,11,FALSE)</f>
        <v>0</v>
      </c>
      <c r="AG128" s="1229">
        <f>VLOOKUP($C128,'3B.Demographic'!$C$15:$N$414,12,FALSE)</f>
        <v>0</v>
      </c>
    </row>
    <row r="129" spans="1:33" ht="20.100000000000001" customHeight="1">
      <c r="A129" s="217" t="str">
        <f>IF(D129&lt;&gt;"", ' 1A.Prop&amp;Residents'!$B$7, "")</f>
        <v/>
      </c>
      <c r="B129" s="217" t="str">
        <f t="shared" si="5"/>
        <v/>
      </c>
      <c r="C129" s="34">
        <v>115</v>
      </c>
      <c r="D129" s="153"/>
      <c r="E129" s="154"/>
      <c r="F129" s="1775"/>
      <c r="G129" s="155"/>
      <c r="H129" s="156"/>
      <c r="I129" s="154"/>
      <c r="J129" s="157"/>
      <c r="K129" s="156"/>
      <c r="L129" s="154"/>
      <c r="M129" s="609" t="str">
        <f>IF(L129="","",IF(E129="","",IF('1B.TransitionalProg'!$H$8&gt;0,"",VLOOKUP($E129,' 1A.Prop&amp;Residents'!$P$41:$R$47,2,FALSE))))</f>
        <v/>
      </c>
      <c r="N129" s="609" t="str">
        <f>IF(L129="","",IF(E129="","",IF('1B.TransitionalProg'!$H$8&gt;0,"",VLOOKUP($E129,' 1A.Prop&amp;Residents'!$P$41:$R$47,3,FALSE))))</f>
        <v/>
      </c>
      <c r="O129" s="610" t="str">
        <f>IF(L129="", "", IF(E129="", "", IF('1B.TransitionalProg'!$H$8&gt;0,"",IF(L129&lt;M129,"overHOUSED?",IF(L129&gt;N129, "OVERcrowded?","")))))</f>
        <v/>
      </c>
      <c r="P129" s="623"/>
      <c r="Q129" s="154"/>
      <c r="R129" s="154"/>
      <c r="S129" s="156"/>
      <c r="T129" s="156"/>
      <c r="U129" s="156"/>
      <c r="V129" s="156"/>
      <c r="W129" s="1580" t="str">
        <f t="shared" si="3"/>
        <v/>
      </c>
      <c r="X129" s="155"/>
      <c r="Y129" s="156"/>
      <c r="Z129" s="233" t="str">
        <f t="shared" si="4"/>
        <v/>
      </c>
      <c r="AA129" s="1447">
        <f>VLOOKUP($C129,'3B.Demographic'!$C$15:$N$414,6,FALSE)</f>
        <v>0</v>
      </c>
      <c r="AB129" s="1447">
        <f>VLOOKUP($C129,'3B.Demographic'!$C$15:$N$414,7,FALSE)</f>
        <v>0</v>
      </c>
      <c r="AC129" s="1447">
        <f>VLOOKUP($C129,'3B.Demographic'!$C$15:$N$414,8,FALSE)</f>
        <v>0</v>
      </c>
      <c r="AD129" s="1447">
        <f>VLOOKUP($C129,'3B.Demographic'!$C$15:$N$414,9,FALSE)</f>
        <v>0</v>
      </c>
      <c r="AE129" s="1447">
        <f>VLOOKUP($C129,'3B.Demographic'!$C$15:$N$414,10,FALSE)</f>
        <v>0</v>
      </c>
      <c r="AF129" s="1475">
        <f>VLOOKUP($C129,'3B.Demographic'!$C$15:$N$414,11,FALSE)</f>
        <v>0</v>
      </c>
      <c r="AG129" s="1229">
        <f>VLOOKUP($C129,'3B.Demographic'!$C$15:$N$414,12,FALSE)</f>
        <v>0</v>
      </c>
    </row>
    <row r="130" spans="1:33" ht="20.100000000000001" customHeight="1">
      <c r="A130" s="217" t="str">
        <f>IF(D130&lt;&gt;"", ' 1A.Prop&amp;Residents'!$B$7, "")</f>
        <v/>
      </c>
      <c r="B130" s="217" t="str">
        <f t="shared" si="5"/>
        <v/>
      </c>
      <c r="C130" s="34">
        <v>116</v>
      </c>
      <c r="D130" s="153"/>
      <c r="E130" s="154"/>
      <c r="F130" s="1775"/>
      <c r="G130" s="155"/>
      <c r="H130" s="156"/>
      <c r="I130" s="154"/>
      <c r="J130" s="157"/>
      <c r="K130" s="156"/>
      <c r="L130" s="154"/>
      <c r="M130" s="609" t="str">
        <f>IF(L130="","",IF(E130="","",IF('1B.TransitionalProg'!$H$8&gt;0,"",VLOOKUP($E130,' 1A.Prop&amp;Residents'!$P$41:$R$47,2,FALSE))))</f>
        <v/>
      </c>
      <c r="N130" s="609" t="str">
        <f>IF(L130="","",IF(E130="","",IF('1B.TransitionalProg'!$H$8&gt;0,"",VLOOKUP($E130,' 1A.Prop&amp;Residents'!$P$41:$R$47,3,FALSE))))</f>
        <v/>
      </c>
      <c r="O130" s="610" t="str">
        <f>IF(L130="", "", IF(E130="", "", IF('1B.TransitionalProg'!$H$8&gt;0,"",IF(L130&lt;M130,"overHOUSED?",IF(L130&gt;N130, "OVERcrowded?","")))))</f>
        <v/>
      </c>
      <c r="P130" s="623"/>
      <c r="Q130" s="154"/>
      <c r="R130" s="154"/>
      <c r="S130" s="156"/>
      <c r="T130" s="156"/>
      <c r="U130" s="156"/>
      <c r="V130" s="156"/>
      <c r="W130" s="1580" t="str">
        <f t="shared" si="3"/>
        <v/>
      </c>
      <c r="X130" s="155"/>
      <c r="Y130" s="156"/>
      <c r="Z130" s="233" t="str">
        <f t="shared" si="4"/>
        <v/>
      </c>
      <c r="AA130" s="1447">
        <f>VLOOKUP($C130,'3B.Demographic'!$C$15:$N$414,6,FALSE)</f>
        <v>0</v>
      </c>
      <c r="AB130" s="1447">
        <f>VLOOKUP($C130,'3B.Demographic'!$C$15:$N$414,7,FALSE)</f>
        <v>0</v>
      </c>
      <c r="AC130" s="1447">
        <f>VLOOKUP($C130,'3B.Demographic'!$C$15:$N$414,8,FALSE)</f>
        <v>0</v>
      </c>
      <c r="AD130" s="1447">
        <f>VLOOKUP($C130,'3B.Demographic'!$C$15:$N$414,9,FALSE)</f>
        <v>0</v>
      </c>
      <c r="AE130" s="1447">
        <f>VLOOKUP($C130,'3B.Demographic'!$C$15:$N$414,10,FALSE)</f>
        <v>0</v>
      </c>
      <c r="AF130" s="1475">
        <f>VLOOKUP($C130,'3B.Demographic'!$C$15:$N$414,11,FALSE)</f>
        <v>0</v>
      </c>
      <c r="AG130" s="1229">
        <f>VLOOKUP($C130,'3B.Demographic'!$C$15:$N$414,12,FALSE)</f>
        <v>0</v>
      </c>
    </row>
    <row r="131" spans="1:33" ht="20.100000000000001" customHeight="1">
      <c r="A131" s="217" t="str">
        <f>IF(D131&lt;&gt;"", ' 1A.Prop&amp;Residents'!$B$7, "")</f>
        <v/>
      </c>
      <c r="B131" s="217" t="str">
        <f t="shared" si="5"/>
        <v/>
      </c>
      <c r="C131" s="34">
        <v>117</v>
      </c>
      <c r="D131" s="153"/>
      <c r="E131" s="154"/>
      <c r="F131" s="1775"/>
      <c r="G131" s="155"/>
      <c r="H131" s="156"/>
      <c r="I131" s="154"/>
      <c r="J131" s="157"/>
      <c r="K131" s="156"/>
      <c r="L131" s="154"/>
      <c r="M131" s="609" t="str">
        <f>IF(L131="","",IF(E131="","",IF('1B.TransitionalProg'!$H$8&gt;0,"",VLOOKUP($E131,' 1A.Prop&amp;Residents'!$P$41:$R$47,2,FALSE))))</f>
        <v/>
      </c>
      <c r="N131" s="609" t="str">
        <f>IF(L131="","",IF(E131="","",IF('1B.TransitionalProg'!$H$8&gt;0,"",VLOOKUP($E131,' 1A.Prop&amp;Residents'!$P$41:$R$47,3,FALSE))))</f>
        <v/>
      </c>
      <c r="O131" s="610" t="str">
        <f>IF(L131="", "", IF(E131="", "", IF('1B.TransitionalProg'!$H$8&gt;0,"",IF(L131&lt;M131,"overHOUSED?",IF(L131&gt;N131, "OVERcrowded?","")))))</f>
        <v/>
      </c>
      <c r="P131" s="623"/>
      <c r="Q131" s="154"/>
      <c r="R131" s="154"/>
      <c r="S131" s="156"/>
      <c r="T131" s="156"/>
      <c r="U131" s="156"/>
      <c r="V131" s="156"/>
      <c r="W131" s="1580" t="str">
        <f t="shared" si="3"/>
        <v/>
      </c>
      <c r="X131" s="155"/>
      <c r="Y131" s="156"/>
      <c r="Z131" s="233" t="str">
        <f t="shared" si="4"/>
        <v/>
      </c>
      <c r="AA131" s="1447">
        <f>VLOOKUP($C131,'3B.Demographic'!$C$15:$N$414,6,FALSE)</f>
        <v>0</v>
      </c>
      <c r="AB131" s="1447">
        <f>VLOOKUP($C131,'3B.Demographic'!$C$15:$N$414,7,FALSE)</f>
        <v>0</v>
      </c>
      <c r="AC131" s="1447">
        <f>VLOOKUP($C131,'3B.Demographic'!$C$15:$N$414,8,FALSE)</f>
        <v>0</v>
      </c>
      <c r="AD131" s="1447">
        <f>VLOOKUP($C131,'3B.Demographic'!$C$15:$N$414,9,FALSE)</f>
        <v>0</v>
      </c>
      <c r="AE131" s="1447">
        <f>VLOOKUP($C131,'3B.Demographic'!$C$15:$N$414,10,FALSE)</f>
        <v>0</v>
      </c>
      <c r="AF131" s="1475">
        <f>VLOOKUP($C131,'3B.Demographic'!$C$15:$N$414,11,FALSE)</f>
        <v>0</v>
      </c>
      <c r="AG131" s="1229">
        <f>VLOOKUP($C131,'3B.Demographic'!$C$15:$N$414,12,FALSE)</f>
        <v>0</v>
      </c>
    </row>
    <row r="132" spans="1:33" ht="20.100000000000001" customHeight="1">
      <c r="A132" s="217" t="str">
        <f>IF(D132&lt;&gt;"", ' 1A.Prop&amp;Residents'!$B$7, "")</f>
        <v/>
      </c>
      <c r="B132" s="217" t="str">
        <f t="shared" si="5"/>
        <v/>
      </c>
      <c r="C132" s="34">
        <v>118</v>
      </c>
      <c r="D132" s="153"/>
      <c r="E132" s="154"/>
      <c r="F132" s="1775"/>
      <c r="G132" s="155"/>
      <c r="H132" s="156"/>
      <c r="I132" s="154"/>
      <c r="J132" s="157"/>
      <c r="K132" s="156"/>
      <c r="L132" s="154"/>
      <c r="M132" s="609" t="str">
        <f>IF(L132="","",IF(E132="","",IF('1B.TransitionalProg'!$H$8&gt;0,"",VLOOKUP($E132,' 1A.Prop&amp;Residents'!$P$41:$R$47,2,FALSE))))</f>
        <v/>
      </c>
      <c r="N132" s="609" t="str">
        <f>IF(L132="","",IF(E132="","",IF('1B.TransitionalProg'!$H$8&gt;0,"",VLOOKUP($E132,' 1A.Prop&amp;Residents'!$P$41:$R$47,3,FALSE))))</f>
        <v/>
      </c>
      <c r="O132" s="610" t="str">
        <f>IF(L132="", "", IF(E132="", "", IF('1B.TransitionalProg'!$H$8&gt;0,"",IF(L132&lt;M132,"overHOUSED?",IF(L132&gt;N132, "OVERcrowded?","")))))</f>
        <v/>
      </c>
      <c r="P132" s="623"/>
      <c r="Q132" s="154"/>
      <c r="R132" s="154"/>
      <c r="S132" s="156"/>
      <c r="T132" s="156"/>
      <c r="U132" s="156"/>
      <c r="V132" s="156"/>
      <c r="W132" s="1580" t="str">
        <f t="shared" si="3"/>
        <v/>
      </c>
      <c r="X132" s="155"/>
      <c r="Y132" s="156"/>
      <c r="Z132" s="233" t="str">
        <f t="shared" si="4"/>
        <v/>
      </c>
      <c r="AA132" s="1447">
        <f>VLOOKUP($C132,'3B.Demographic'!$C$15:$N$414,6,FALSE)</f>
        <v>0</v>
      </c>
      <c r="AB132" s="1447">
        <f>VLOOKUP($C132,'3B.Demographic'!$C$15:$N$414,7,FALSE)</f>
        <v>0</v>
      </c>
      <c r="AC132" s="1447">
        <f>VLOOKUP($C132,'3B.Demographic'!$C$15:$N$414,8,FALSE)</f>
        <v>0</v>
      </c>
      <c r="AD132" s="1447">
        <f>VLOOKUP($C132,'3B.Demographic'!$C$15:$N$414,9,FALSE)</f>
        <v>0</v>
      </c>
      <c r="AE132" s="1447">
        <f>VLOOKUP($C132,'3B.Demographic'!$C$15:$N$414,10,FALSE)</f>
        <v>0</v>
      </c>
      <c r="AF132" s="1475">
        <f>VLOOKUP($C132,'3B.Demographic'!$C$15:$N$414,11,FALSE)</f>
        <v>0</v>
      </c>
      <c r="AG132" s="1229">
        <f>VLOOKUP($C132,'3B.Demographic'!$C$15:$N$414,12,FALSE)</f>
        <v>0</v>
      </c>
    </row>
    <row r="133" spans="1:33" ht="20.100000000000001" customHeight="1">
      <c r="A133" s="217" t="str">
        <f>IF(D133&lt;&gt;"", ' 1A.Prop&amp;Residents'!$B$7, "")</f>
        <v/>
      </c>
      <c r="B133" s="217" t="str">
        <f t="shared" si="5"/>
        <v/>
      </c>
      <c r="C133" s="34">
        <v>119</v>
      </c>
      <c r="D133" s="153"/>
      <c r="E133" s="154"/>
      <c r="F133" s="1775"/>
      <c r="G133" s="155"/>
      <c r="H133" s="156"/>
      <c r="I133" s="154"/>
      <c r="J133" s="157"/>
      <c r="K133" s="156"/>
      <c r="L133" s="154"/>
      <c r="M133" s="609" t="str">
        <f>IF(L133="","",IF(E133="","",IF('1B.TransitionalProg'!$H$8&gt;0,"",VLOOKUP($E133,' 1A.Prop&amp;Residents'!$P$41:$R$47,2,FALSE))))</f>
        <v/>
      </c>
      <c r="N133" s="609" t="str">
        <f>IF(L133="","",IF(E133="","",IF('1B.TransitionalProg'!$H$8&gt;0,"",VLOOKUP($E133,' 1A.Prop&amp;Residents'!$P$41:$R$47,3,FALSE))))</f>
        <v/>
      </c>
      <c r="O133" s="610" t="str">
        <f>IF(L133="", "", IF(E133="", "", IF('1B.TransitionalProg'!$H$8&gt;0,"",IF(L133&lt;M133,"overHOUSED?",IF(L133&gt;N133, "OVERcrowded?","")))))</f>
        <v/>
      </c>
      <c r="P133" s="623"/>
      <c r="Q133" s="154"/>
      <c r="R133" s="154"/>
      <c r="S133" s="156"/>
      <c r="T133" s="156"/>
      <c r="U133" s="156"/>
      <c r="V133" s="156"/>
      <c r="W133" s="1580" t="str">
        <f t="shared" si="3"/>
        <v/>
      </c>
      <c r="X133" s="155"/>
      <c r="Y133" s="156"/>
      <c r="Z133" s="233" t="str">
        <f t="shared" si="4"/>
        <v/>
      </c>
      <c r="AA133" s="1447">
        <f>VLOOKUP($C133,'3B.Demographic'!$C$15:$N$414,6,FALSE)</f>
        <v>0</v>
      </c>
      <c r="AB133" s="1447">
        <f>VLOOKUP($C133,'3B.Demographic'!$C$15:$N$414,7,FALSE)</f>
        <v>0</v>
      </c>
      <c r="AC133" s="1447">
        <f>VLOOKUP($C133,'3B.Demographic'!$C$15:$N$414,8,FALSE)</f>
        <v>0</v>
      </c>
      <c r="AD133" s="1447">
        <f>VLOOKUP($C133,'3B.Demographic'!$C$15:$N$414,9,FALSE)</f>
        <v>0</v>
      </c>
      <c r="AE133" s="1447">
        <f>VLOOKUP($C133,'3B.Demographic'!$C$15:$N$414,10,FALSE)</f>
        <v>0</v>
      </c>
      <c r="AF133" s="1475">
        <f>VLOOKUP($C133,'3B.Demographic'!$C$15:$N$414,11,FALSE)</f>
        <v>0</v>
      </c>
      <c r="AG133" s="1229">
        <f>VLOOKUP($C133,'3B.Demographic'!$C$15:$N$414,12,FALSE)</f>
        <v>0</v>
      </c>
    </row>
    <row r="134" spans="1:33" ht="20.100000000000001" customHeight="1">
      <c r="A134" s="217" t="str">
        <f>IF(D134&lt;&gt;"", ' 1A.Prop&amp;Residents'!$B$7, "")</f>
        <v/>
      </c>
      <c r="B134" s="217" t="str">
        <f t="shared" si="5"/>
        <v/>
      </c>
      <c r="C134" s="34">
        <v>120</v>
      </c>
      <c r="D134" s="153"/>
      <c r="E134" s="154"/>
      <c r="F134" s="1775"/>
      <c r="G134" s="155"/>
      <c r="H134" s="156"/>
      <c r="I134" s="154"/>
      <c r="J134" s="157"/>
      <c r="K134" s="156"/>
      <c r="L134" s="154"/>
      <c r="M134" s="609" t="str">
        <f>IF(L134="","",IF(E134="","",IF('1B.TransitionalProg'!$H$8&gt;0,"",VLOOKUP($E134,' 1A.Prop&amp;Residents'!$P$41:$R$47,2,FALSE))))</f>
        <v/>
      </c>
      <c r="N134" s="609" t="str">
        <f>IF(L134="","",IF(E134="","",IF('1B.TransitionalProg'!$H$8&gt;0,"",VLOOKUP($E134,' 1A.Prop&amp;Residents'!$P$41:$R$47,3,FALSE))))</f>
        <v/>
      </c>
      <c r="O134" s="610" t="str">
        <f>IF(L134="", "", IF(E134="", "", IF('1B.TransitionalProg'!$H$8&gt;0,"",IF(L134&lt;M134,"overHOUSED?",IF(L134&gt;N134, "OVERcrowded?","")))))</f>
        <v/>
      </c>
      <c r="P134" s="623"/>
      <c r="Q134" s="154"/>
      <c r="R134" s="154"/>
      <c r="S134" s="156"/>
      <c r="T134" s="156"/>
      <c r="U134" s="156"/>
      <c r="V134" s="156"/>
      <c r="W134" s="1580" t="str">
        <f t="shared" si="3"/>
        <v/>
      </c>
      <c r="X134" s="155"/>
      <c r="Y134" s="156"/>
      <c r="Z134" s="233" t="str">
        <f t="shared" si="4"/>
        <v/>
      </c>
      <c r="AA134" s="1447">
        <f>VLOOKUP($C134,'3B.Demographic'!$C$15:$N$414,6,FALSE)</f>
        <v>0</v>
      </c>
      <c r="AB134" s="1447">
        <f>VLOOKUP($C134,'3B.Demographic'!$C$15:$N$414,7,FALSE)</f>
        <v>0</v>
      </c>
      <c r="AC134" s="1447">
        <f>VLOOKUP($C134,'3B.Demographic'!$C$15:$N$414,8,FALSE)</f>
        <v>0</v>
      </c>
      <c r="AD134" s="1447">
        <f>VLOOKUP($C134,'3B.Demographic'!$C$15:$N$414,9,FALSE)</f>
        <v>0</v>
      </c>
      <c r="AE134" s="1447">
        <f>VLOOKUP($C134,'3B.Demographic'!$C$15:$N$414,10,FALSE)</f>
        <v>0</v>
      </c>
      <c r="AF134" s="1475">
        <f>VLOOKUP($C134,'3B.Demographic'!$C$15:$N$414,11,FALSE)</f>
        <v>0</v>
      </c>
      <c r="AG134" s="1229">
        <f>VLOOKUP($C134,'3B.Demographic'!$C$15:$N$414,12,FALSE)</f>
        <v>0</v>
      </c>
    </row>
    <row r="135" spans="1:33" ht="20.100000000000001" customHeight="1">
      <c r="A135" s="217" t="str">
        <f>IF(D135&lt;&gt;"", ' 1A.Prop&amp;Residents'!$B$7, "")</f>
        <v/>
      </c>
      <c r="B135" s="217" t="str">
        <f t="shared" si="5"/>
        <v/>
      </c>
      <c r="C135" s="34">
        <v>121</v>
      </c>
      <c r="D135" s="153"/>
      <c r="E135" s="154"/>
      <c r="F135" s="1775"/>
      <c r="G135" s="155"/>
      <c r="H135" s="156"/>
      <c r="I135" s="154"/>
      <c r="J135" s="157"/>
      <c r="K135" s="156"/>
      <c r="L135" s="154"/>
      <c r="M135" s="609" t="str">
        <f>IF(L135="","",IF(E135="","",IF('1B.TransitionalProg'!$H$8&gt;0,"",VLOOKUP($E135,' 1A.Prop&amp;Residents'!$P$41:$R$47,2,FALSE))))</f>
        <v/>
      </c>
      <c r="N135" s="609" t="str">
        <f>IF(L135="","",IF(E135="","",IF('1B.TransitionalProg'!$H$8&gt;0,"",VLOOKUP($E135,' 1A.Prop&amp;Residents'!$P$41:$R$47,3,FALSE))))</f>
        <v/>
      </c>
      <c r="O135" s="610" t="str">
        <f>IF(L135="", "", IF(E135="", "", IF('1B.TransitionalProg'!$H$8&gt;0,"",IF(L135&lt;M135,"overHOUSED?",IF(L135&gt;N135, "OVERcrowded?","")))))</f>
        <v/>
      </c>
      <c r="P135" s="623"/>
      <c r="Q135" s="154"/>
      <c r="R135" s="154"/>
      <c r="S135" s="156"/>
      <c r="T135" s="156"/>
      <c r="U135" s="156"/>
      <c r="V135" s="156"/>
      <c r="W135" s="1580" t="str">
        <f t="shared" si="3"/>
        <v/>
      </c>
      <c r="X135" s="155"/>
      <c r="Y135" s="156"/>
      <c r="Z135" s="233" t="str">
        <f t="shared" si="4"/>
        <v/>
      </c>
      <c r="AA135" s="1447">
        <f>VLOOKUP($C135,'3B.Demographic'!$C$15:$N$414,6,FALSE)</f>
        <v>0</v>
      </c>
      <c r="AB135" s="1447">
        <f>VLOOKUP($C135,'3B.Demographic'!$C$15:$N$414,7,FALSE)</f>
        <v>0</v>
      </c>
      <c r="AC135" s="1447">
        <f>VLOOKUP($C135,'3B.Demographic'!$C$15:$N$414,8,FALSE)</f>
        <v>0</v>
      </c>
      <c r="AD135" s="1447">
        <f>VLOOKUP($C135,'3B.Demographic'!$C$15:$N$414,9,FALSE)</f>
        <v>0</v>
      </c>
      <c r="AE135" s="1447">
        <f>VLOOKUP($C135,'3B.Demographic'!$C$15:$N$414,10,FALSE)</f>
        <v>0</v>
      </c>
      <c r="AF135" s="1475">
        <f>VLOOKUP($C135,'3B.Demographic'!$C$15:$N$414,11,FALSE)</f>
        <v>0</v>
      </c>
      <c r="AG135" s="1229">
        <f>VLOOKUP($C135,'3B.Demographic'!$C$15:$N$414,12,FALSE)</f>
        <v>0</v>
      </c>
    </row>
    <row r="136" spans="1:33" ht="20.100000000000001" customHeight="1">
      <c r="A136" s="217" t="str">
        <f>IF(D136&lt;&gt;"", ' 1A.Prop&amp;Residents'!$B$7, "")</f>
        <v/>
      </c>
      <c r="B136" s="217" t="str">
        <f t="shared" si="5"/>
        <v/>
      </c>
      <c r="C136" s="34">
        <v>122</v>
      </c>
      <c r="D136" s="153"/>
      <c r="E136" s="154"/>
      <c r="F136" s="1775"/>
      <c r="G136" s="155"/>
      <c r="H136" s="156"/>
      <c r="I136" s="154"/>
      <c r="J136" s="157"/>
      <c r="K136" s="156"/>
      <c r="L136" s="154"/>
      <c r="M136" s="609" t="str">
        <f>IF(L136="","",IF(E136="","",IF('1B.TransitionalProg'!$H$8&gt;0,"",VLOOKUP($E136,' 1A.Prop&amp;Residents'!$P$41:$R$47,2,FALSE))))</f>
        <v/>
      </c>
      <c r="N136" s="609" t="str">
        <f>IF(L136="","",IF(E136="","",IF('1B.TransitionalProg'!$H$8&gt;0,"",VLOOKUP($E136,' 1A.Prop&amp;Residents'!$P$41:$R$47,3,FALSE))))</f>
        <v/>
      </c>
      <c r="O136" s="610" t="str">
        <f>IF(L136="", "", IF(E136="", "", IF('1B.TransitionalProg'!$H$8&gt;0,"",IF(L136&lt;M136,"overHOUSED?",IF(L136&gt;N136, "OVERcrowded?","")))))</f>
        <v/>
      </c>
      <c r="P136" s="623"/>
      <c r="Q136" s="154"/>
      <c r="R136" s="154"/>
      <c r="S136" s="156"/>
      <c r="T136" s="156"/>
      <c r="U136" s="156"/>
      <c r="V136" s="156"/>
      <c r="W136" s="1580" t="str">
        <f t="shared" si="3"/>
        <v/>
      </c>
      <c r="X136" s="155"/>
      <c r="Y136" s="156"/>
      <c r="Z136" s="233" t="str">
        <f t="shared" si="4"/>
        <v/>
      </c>
      <c r="AA136" s="1447">
        <f>VLOOKUP($C136,'3B.Demographic'!$C$15:$N$414,6,FALSE)</f>
        <v>0</v>
      </c>
      <c r="AB136" s="1447">
        <f>VLOOKUP($C136,'3B.Demographic'!$C$15:$N$414,7,FALSE)</f>
        <v>0</v>
      </c>
      <c r="AC136" s="1447">
        <f>VLOOKUP($C136,'3B.Demographic'!$C$15:$N$414,8,FALSE)</f>
        <v>0</v>
      </c>
      <c r="AD136" s="1447">
        <f>VLOOKUP($C136,'3B.Demographic'!$C$15:$N$414,9,FALSE)</f>
        <v>0</v>
      </c>
      <c r="AE136" s="1447">
        <f>VLOOKUP($C136,'3B.Demographic'!$C$15:$N$414,10,FALSE)</f>
        <v>0</v>
      </c>
      <c r="AF136" s="1475">
        <f>VLOOKUP($C136,'3B.Demographic'!$C$15:$N$414,11,FALSE)</f>
        <v>0</v>
      </c>
      <c r="AG136" s="1229">
        <f>VLOOKUP($C136,'3B.Demographic'!$C$15:$N$414,12,FALSE)</f>
        <v>0</v>
      </c>
    </row>
    <row r="137" spans="1:33" ht="20.100000000000001" customHeight="1">
      <c r="A137" s="217" t="str">
        <f>IF(D137&lt;&gt;"", ' 1A.Prop&amp;Residents'!$B$7, "")</f>
        <v/>
      </c>
      <c r="B137" s="217" t="str">
        <f t="shared" si="5"/>
        <v/>
      </c>
      <c r="C137" s="34">
        <v>123</v>
      </c>
      <c r="D137" s="153"/>
      <c r="E137" s="154"/>
      <c r="F137" s="1775"/>
      <c r="G137" s="155"/>
      <c r="H137" s="156"/>
      <c r="I137" s="154"/>
      <c r="J137" s="157"/>
      <c r="K137" s="156"/>
      <c r="L137" s="154"/>
      <c r="M137" s="609" t="str">
        <f>IF(L137="","",IF(E137="","",IF('1B.TransitionalProg'!$H$8&gt;0,"",VLOOKUP($E137,' 1A.Prop&amp;Residents'!$P$41:$R$47,2,FALSE))))</f>
        <v/>
      </c>
      <c r="N137" s="609" t="str">
        <f>IF(L137="","",IF(E137="","",IF('1B.TransitionalProg'!$H$8&gt;0,"",VLOOKUP($E137,' 1A.Prop&amp;Residents'!$P$41:$R$47,3,FALSE))))</f>
        <v/>
      </c>
      <c r="O137" s="610" t="str">
        <f>IF(L137="", "", IF(E137="", "", IF('1B.TransitionalProg'!$H$8&gt;0,"",IF(L137&lt;M137,"overHOUSED?",IF(L137&gt;N137, "OVERcrowded?","")))))</f>
        <v/>
      </c>
      <c r="P137" s="623"/>
      <c r="Q137" s="154"/>
      <c r="R137" s="154"/>
      <c r="S137" s="156"/>
      <c r="T137" s="156"/>
      <c r="U137" s="156"/>
      <c r="V137" s="156"/>
      <c r="W137" s="1580" t="str">
        <f t="shared" si="3"/>
        <v/>
      </c>
      <c r="X137" s="155"/>
      <c r="Y137" s="156"/>
      <c r="Z137" s="233" t="str">
        <f t="shared" si="4"/>
        <v/>
      </c>
      <c r="AA137" s="1447">
        <f>VLOOKUP($C137,'3B.Demographic'!$C$15:$N$414,6,FALSE)</f>
        <v>0</v>
      </c>
      <c r="AB137" s="1447">
        <f>VLOOKUP($C137,'3B.Demographic'!$C$15:$N$414,7,FALSE)</f>
        <v>0</v>
      </c>
      <c r="AC137" s="1447">
        <f>VLOOKUP($C137,'3B.Demographic'!$C$15:$N$414,8,FALSE)</f>
        <v>0</v>
      </c>
      <c r="AD137" s="1447">
        <f>VLOOKUP($C137,'3B.Demographic'!$C$15:$N$414,9,FALSE)</f>
        <v>0</v>
      </c>
      <c r="AE137" s="1447">
        <f>VLOOKUP($C137,'3B.Demographic'!$C$15:$N$414,10,FALSE)</f>
        <v>0</v>
      </c>
      <c r="AF137" s="1475">
        <f>VLOOKUP($C137,'3B.Demographic'!$C$15:$N$414,11,FALSE)</f>
        <v>0</v>
      </c>
      <c r="AG137" s="1229">
        <f>VLOOKUP($C137,'3B.Demographic'!$C$15:$N$414,12,FALSE)</f>
        <v>0</v>
      </c>
    </row>
    <row r="138" spans="1:33" ht="20.100000000000001" customHeight="1">
      <c r="A138" s="217" t="str">
        <f>IF(D138&lt;&gt;"", ' 1A.Prop&amp;Residents'!$B$7, "")</f>
        <v/>
      </c>
      <c r="B138" s="217" t="str">
        <f t="shared" si="5"/>
        <v/>
      </c>
      <c r="C138" s="34">
        <v>124</v>
      </c>
      <c r="D138" s="153"/>
      <c r="E138" s="154"/>
      <c r="F138" s="1775"/>
      <c r="G138" s="155"/>
      <c r="H138" s="156"/>
      <c r="I138" s="154"/>
      <c r="J138" s="157"/>
      <c r="K138" s="156"/>
      <c r="L138" s="154"/>
      <c r="M138" s="609" t="str">
        <f>IF(L138="","",IF(E138="","",IF('1B.TransitionalProg'!$H$8&gt;0,"",VLOOKUP($E138,' 1A.Prop&amp;Residents'!$P$41:$R$47,2,FALSE))))</f>
        <v/>
      </c>
      <c r="N138" s="609" t="str">
        <f>IF(L138="","",IF(E138="","",IF('1B.TransitionalProg'!$H$8&gt;0,"",VLOOKUP($E138,' 1A.Prop&amp;Residents'!$P$41:$R$47,3,FALSE))))</f>
        <v/>
      </c>
      <c r="O138" s="610" t="str">
        <f>IF(L138="", "", IF(E138="", "", IF('1B.TransitionalProg'!$H$8&gt;0,"",IF(L138&lt;M138,"overHOUSED?",IF(L138&gt;N138, "OVERcrowded?","")))))</f>
        <v/>
      </c>
      <c r="P138" s="623"/>
      <c r="Q138" s="154"/>
      <c r="R138" s="154"/>
      <c r="S138" s="156"/>
      <c r="T138" s="156"/>
      <c r="U138" s="156"/>
      <c r="V138" s="156"/>
      <c r="W138" s="1580" t="str">
        <f t="shared" si="3"/>
        <v/>
      </c>
      <c r="X138" s="155"/>
      <c r="Y138" s="156"/>
      <c r="Z138" s="233" t="str">
        <f t="shared" si="4"/>
        <v/>
      </c>
      <c r="AA138" s="1447">
        <f>VLOOKUP($C138,'3B.Demographic'!$C$15:$N$414,6,FALSE)</f>
        <v>0</v>
      </c>
      <c r="AB138" s="1447">
        <f>VLOOKUP($C138,'3B.Demographic'!$C$15:$N$414,7,FALSE)</f>
        <v>0</v>
      </c>
      <c r="AC138" s="1447">
        <f>VLOOKUP($C138,'3B.Demographic'!$C$15:$N$414,8,FALSE)</f>
        <v>0</v>
      </c>
      <c r="AD138" s="1447">
        <f>VLOOKUP($C138,'3B.Demographic'!$C$15:$N$414,9,FALSE)</f>
        <v>0</v>
      </c>
      <c r="AE138" s="1447">
        <f>VLOOKUP($C138,'3B.Demographic'!$C$15:$N$414,10,FALSE)</f>
        <v>0</v>
      </c>
      <c r="AF138" s="1475">
        <f>VLOOKUP($C138,'3B.Demographic'!$C$15:$N$414,11,FALSE)</f>
        <v>0</v>
      </c>
      <c r="AG138" s="1229">
        <f>VLOOKUP($C138,'3B.Demographic'!$C$15:$N$414,12,FALSE)</f>
        <v>0</v>
      </c>
    </row>
    <row r="139" spans="1:33" ht="20.100000000000001" customHeight="1">
      <c r="A139" s="217" t="str">
        <f>IF(D139&lt;&gt;"", ' 1A.Prop&amp;Residents'!$B$7, "")</f>
        <v/>
      </c>
      <c r="B139" s="217" t="str">
        <f t="shared" si="5"/>
        <v/>
      </c>
      <c r="C139" s="34">
        <v>125</v>
      </c>
      <c r="D139" s="153"/>
      <c r="E139" s="154"/>
      <c r="F139" s="1775"/>
      <c r="G139" s="155"/>
      <c r="H139" s="156"/>
      <c r="I139" s="154"/>
      <c r="J139" s="157"/>
      <c r="K139" s="156"/>
      <c r="L139" s="154"/>
      <c r="M139" s="609" t="str">
        <f>IF(L139="","",IF(E139="","",IF('1B.TransitionalProg'!$H$8&gt;0,"",VLOOKUP($E139,' 1A.Prop&amp;Residents'!$P$41:$R$47,2,FALSE))))</f>
        <v/>
      </c>
      <c r="N139" s="609" t="str">
        <f>IF(L139="","",IF(E139="","",IF('1B.TransitionalProg'!$H$8&gt;0,"",VLOOKUP($E139,' 1A.Prop&amp;Residents'!$P$41:$R$47,3,FALSE))))</f>
        <v/>
      </c>
      <c r="O139" s="610" t="str">
        <f>IF(L139="", "", IF(E139="", "", IF('1B.TransitionalProg'!$H$8&gt;0,"",IF(L139&lt;M139,"overHOUSED?",IF(L139&gt;N139, "OVERcrowded?","")))))</f>
        <v/>
      </c>
      <c r="P139" s="623"/>
      <c r="Q139" s="154"/>
      <c r="R139" s="154"/>
      <c r="S139" s="156"/>
      <c r="T139" s="156"/>
      <c r="U139" s="156"/>
      <c r="V139" s="156"/>
      <c r="W139" s="1580" t="str">
        <f t="shared" si="3"/>
        <v/>
      </c>
      <c r="X139" s="155"/>
      <c r="Y139" s="156"/>
      <c r="Z139" s="233" t="str">
        <f t="shared" si="4"/>
        <v/>
      </c>
      <c r="AA139" s="1447">
        <f>VLOOKUP($C139,'3B.Demographic'!$C$15:$N$414,6,FALSE)</f>
        <v>0</v>
      </c>
      <c r="AB139" s="1447">
        <f>VLOOKUP($C139,'3B.Demographic'!$C$15:$N$414,7,FALSE)</f>
        <v>0</v>
      </c>
      <c r="AC139" s="1447">
        <f>VLOOKUP($C139,'3B.Demographic'!$C$15:$N$414,8,FALSE)</f>
        <v>0</v>
      </c>
      <c r="AD139" s="1447">
        <f>VLOOKUP($C139,'3B.Demographic'!$C$15:$N$414,9,FALSE)</f>
        <v>0</v>
      </c>
      <c r="AE139" s="1447">
        <f>VLOOKUP($C139,'3B.Demographic'!$C$15:$N$414,10,FALSE)</f>
        <v>0</v>
      </c>
      <c r="AF139" s="1475">
        <f>VLOOKUP($C139,'3B.Demographic'!$C$15:$N$414,11,FALSE)</f>
        <v>0</v>
      </c>
      <c r="AG139" s="1229">
        <f>VLOOKUP($C139,'3B.Demographic'!$C$15:$N$414,12,FALSE)</f>
        <v>0</v>
      </c>
    </row>
    <row r="140" spans="1:33" ht="20.100000000000001" customHeight="1">
      <c r="A140" s="217" t="str">
        <f>IF(D140&lt;&gt;"", ' 1A.Prop&amp;Residents'!$B$7, "")</f>
        <v/>
      </c>
      <c r="B140" s="217" t="str">
        <f t="shared" si="5"/>
        <v/>
      </c>
      <c r="C140" s="34">
        <v>126</v>
      </c>
      <c r="D140" s="153"/>
      <c r="E140" s="154"/>
      <c r="F140" s="1775"/>
      <c r="G140" s="155"/>
      <c r="H140" s="156"/>
      <c r="I140" s="154"/>
      <c r="J140" s="157"/>
      <c r="K140" s="156"/>
      <c r="L140" s="154"/>
      <c r="M140" s="609" t="str">
        <f>IF(L140="","",IF(E140="","",IF('1B.TransitionalProg'!$H$8&gt;0,"",VLOOKUP($E140,' 1A.Prop&amp;Residents'!$P$41:$R$47,2,FALSE))))</f>
        <v/>
      </c>
      <c r="N140" s="609" t="str">
        <f>IF(L140="","",IF(E140="","",IF('1B.TransitionalProg'!$H$8&gt;0,"",VLOOKUP($E140,' 1A.Prop&amp;Residents'!$P$41:$R$47,3,FALSE))))</f>
        <v/>
      </c>
      <c r="O140" s="610" t="str">
        <f>IF(L140="", "", IF(E140="", "", IF('1B.TransitionalProg'!$H$8&gt;0,"",IF(L140&lt;M140,"overHOUSED?",IF(L140&gt;N140, "OVERcrowded?","")))))</f>
        <v/>
      </c>
      <c r="P140" s="623"/>
      <c r="Q140" s="154"/>
      <c r="R140" s="154"/>
      <c r="S140" s="156"/>
      <c r="T140" s="156"/>
      <c r="U140" s="156"/>
      <c r="V140" s="156"/>
      <c r="W140" s="1580" t="str">
        <f t="shared" si="3"/>
        <v/>
      </c>
      <c r="X140" s="155"/>
      <c r="Y140" s="156"/>
      <c r="Z140" s="233" t="str">
        <f t="shared" si="4"/>
        <v/>
      </c>
      <c r="AA140" s="1447">
        <f>VLOOKUP($C140,'3B.Demographic'!$C$15:$N$414,6,FALSE)</f>
        <v>0</v>
      </c>
      <c r="AB140" s="1447">
        <f>VLOOKUP($C140,'3B.Demographic'!$C$15:$N$414,7,FALSE)</f>
        <v>0</v>
      </c>
      <c r="AC140" s="1447">
        <f>VLOOKUP($C140,'3B.Demographic'!$C$15:$N$414,8,FALSE)</f>
        <v>0</v>
      </c>
      <c r="AD140" s="1447">
        <f>VLOOKUP($C140,'3B.Demographic'!$C$15:$N$414,9,FALSE)</f>
        <v>0</v>
      </c>
      <c r="AE140" s="1447">
        <f>VLOOKUP($C140,'3B.Demographic'!$C$15:$N$414,10,FALSE)</f>
        <v>0</v>
      </c>
      <c r="AF140" s="1475">
        <f>VLOOKUP($C140,'3B.Demographic'!$C$15:$N$414,11,FALSE)</f>
        <v>0</v>
      </c>
      <c r="AG140" s="1229">
        <f>VLOOKUP($C140,'3B.Demographic'!$C$15:$N$414,12,FALSE)</f>
        <v>0</v>
      </c>
    </row>
    <row r="141" spans="1:33" ht="20.100000000000001" customHeight="1">
      <c r="A141" s="217" t="str">
        <f>IF(D141&lt;&gt;"", ' 1A.Prop&amp;Residents'!$B$7, "")</f>
        <v/>
      </c>
      <c r="B141" s="217" t="str">
        <f t="shared" si="5"/>
        <v/>
      </c>
      <c r="C141" s="34">
        <v>127</v>
      </c>
      <c r="D141" s="153"/>
      <c r="E141" s="154"/>
      <c r="F141" s="1775"/>
      <c r="G141" s="155"/>
      <c r="H141" s="156"/>
      <c r="I141" s="154"/>
      <c r="J141" s="157"/>
      <c r="K141" s="156"/>
      <c r="L141" s="154"/>
      <c r="M141" s="609" t="str">
        <f>IF(L141="","",IF(E141="","",IF('1B.TransitionalProg'!$H$8&gt;0,"",VLOOKUP($E141,' 1A.Prop&amp;Residents'!$P$41:$R$47,2,FALSE))))</f>
        <v/>
      </c>
      <c r="N141" s="609" t="str">
        <f>IF(L141="","",IF(E141="","",IF('1B.TransitionalProg'!$H$8&gt;0,"",VLOOKUP($E141,' 1A.Prop&amp;Residents'!$P$41:$R$47,3,FALSE))))</f>
        <v/>
      </c>
      <c r="O141" s="610" t="str">
        <f>IF(L141="", "", IF(E141="", "", IF('1B.TransitionalProg'!$H$8&gt;0,"",IF(L141&lt;M141,"overHOUSED?",IF(L141&gt;N141, "OVERcrowded?","")))))</f>
        <v/>
      </c>
      <c r="P141" s="623"/>
      <c r="Q141" s="154"/>
      <c r="R141" s="154"/>
      <c r="S141" s="156"/>
      <c r="T141" s="156"/>
      <c r="U141" s="156"/>
      <c r="V141" s="156"/>
      <c r="W141" s="1580" t="str">
        <f t="shared" si="3"/>
        <v/>
      </c>
      <c r="X141" s="155"/>
      <c r="Y141" s="156"/>
      <c r="Z141" s="233" t="str">
        <f t="shared" si="4"/>
        <v/>
      </c>
      <c r="AA141" s="1447">
        <f>VLOOKUP($C141,'3B.Demographic'!$C$15:$N$414,6,FALSE)</f>
        <v>0</v>
      </c>
      <c r="AB141" s="1447">
        <f>VLOOKUP($C141,'3B.Demographic'!$C$15:$N$414,7,FALSE)</f>
        <v>0</v>
      </c>
      <c r="AC141" s="1447">
        <f>VLOOKUP($C141,'3B.Demographic'!$C$15:$N$414,8,FALSE)</f>
        <v>0</v>
      </c>
      <c r="AD141" s="1447">
        <f>VLOOKUP($C141,'3B.Demographic'!$C$15:$N$414,9,FALSE)</f>
        <v>0</v>
      </c>
      <c r="AE141" s="1447">
        <f>VLOOKUP($C141,'3B.Demographic'!$C$15:$N$414,10,FALSE)</f>
        <v>0</v>
      </c>
      <c r="AF141" s="1475">
        <f>VLOOKUP($C141,'3B.Demographic'!$C$15:$N$414,11,FALSE)</f>
        <v>0</v>
      </c>
      <c r="AG141" s="1229">
        <f>VLOOKUP($C141,'3B.Demographic'!$C$15:$N$414,12,FALSE)</f>
        <v>0</v>
      </c>
    </row>
    <row r="142" spans="1:33" ht="20.100000000000001" customHeight="1">
      <c r="A142" s="217" t="str">
        <f>IF(D142&lt;&gt;"", ' 1A.Prop&amp;Residents'!$B$7, "")</f>
        <v/>
      </c>
      <c r="B142" s="217" t="str">
        <f t="shared" si="5"/>
        <v/>
      </c>
      <c r="C142" s="34">
        <v>128</v>
      </c>
      <c r="D142" s="153"/>
      <c r="E142" s="154"/>
      <c r="F142" s="1775"/>
      <c r="G142" s="155"/>
      <c r="H142" s="156"/>
      <c r="I142" s="154"/>
      <c r="J142" s="157"/>
      <c r="K142" s="156"/>
      <c r="L142" s="154"/>
      <c r="M142" s="609" t="str">
        <f>IF(L142="","",IF(E142="","",IF('1B.TransitionalProg'!$H$8&gt;0,"",VLOOKUP($E142,' 1A.Prop&amp;Residents'!$P$41:$R$47,2,FALSE))))</f>
        <v/>
      </c>
      <c r="N142" s="609" t="str">
        <f>IF(L142="","",IF(E142="","",IF('1B.TransitionalProg'!$H$8&gt;0,"",VLOOKUP($E142,' 1A.Prop&amp;Residents'!$P$41:$R$47,3,FALSE))))</f>
        <v/>
      </c>
      <c r="O142" s="610" t="str">
        <f>IF(L142="", "", IF(E142="", "", IF('1B.TransitionalProg'!$H$8&gt;0,"",IF(L142&lt;M142,"overHOUSED?",IF(L142&gt;N142, "OVERcrowded?","")))))</f>
        <v/>
      </c>
      <c r="P142" s="623"/>
      <c r="Q142" s="154"/>
      <c r="R142" s="154"/>
      <c r="S142" s="156"/>
      <c r="T142" s="156"/>
      <c r="U142" s="156"/>
      <c r="V142" s="156"/>
      <c r="W142" s="1580" t="str">
        <f t="shared" si="3"/>
        <v/>
      </c>
      <c r="X142" s="155"/>
      <c r="Y142" s="156"/>
      <c r="Z142" s="233" t="str">
        <f t="shared" si="4"/>
        <v/>
      </c>
      <c r="AA142" s="1447">
        <f>VLOOKUP($C142,'3B.Demographic'!$C$15:$N$414,6,FALSE)</f>
        <v>0</v>
      </c>
      <c r="AB142" s="1447">
        <f>VLOOKUP($C142,'3B.Demographic'!$C$15:$N$414,7,FALSE)</f>
        <v>0</v>
      </c>
      <c r="AC142" s="1447">
        <f>VLOOKUP($C142,'3B.Demographic'!$C$15:$N$414,8,FALSE)</f>
        <v>0</v>
      </c>
      <c r="AD142" s="1447">
        <f>VLOOKUP($C142,'3B.Demographic'!$C$15:$N$414,9,FALSE)</f>
        <v>0</v>
      </c>
      <c r="AE142" s="1447">
        <f>VLOOKUP($C142,'3B.Demographic'!$C$15:$N$414,10,FALSE)</f>
        <v>0</v>
      </c>
      <c r="AF142" s="1475">
        <f>VLOOKUP($C142,'3B.Demographic'!$C$15:$N$414,11,FALSE)</f>
        <v>0</v>
      </c>
      <c r="AG142" s="1229">
        <f>VLOOKUP($C142,'3B.Demographic'!$C$15:$N$414,12,FALSE)</f>
        <v>0</v>
      </c>
    </row>
    <row r="143" spans="1:33" ht="20.100000000000001" customHeight="1">
      <c r="A143" s="217" t="str">
        <f>IF(D143&lt;&gt;"", ' 1A.Prop&amp;Residents'!$B$7, "")</f>
        <v/>
      </c>
      <c r="B143" s="217" t="str">
        <f t="shared" si="5"/>
        <v/>
      </c>
      <c r="C143" s="34">
        <v>129</v>
      </c>
      <c r="D143" s="153"/>
      <c r="E143" s="154"/>
      <c r="F143" s="1775"/>
      <c r="G143" s="155"/>
      <c r="H143" s="156"/>
      <c r="I143" s="154"/>
      <c r="J143" s="157"/>
      <c r="K143" s="156"/>
      <c r="L143" s="154"/>
      <c r="M143" s="609" t="str">
        <f>IF(L143="","",IF(E143="","",IF('1B.TransitionalProg'!$H$8&gt;0,"",VLOOKUP($E143,' 1A.Prop&amp;Residents'!$P$41:$R$47,2,FALSE))))</f>
        <v/>
      </c>
      <c r="N143" s="609" t="str">
        <f>IF(L143="","",IF(E143="","",IF('1B.TransitionalProg'!$H$8&gt;0,"",VLOOKUP($E143,' 1A.Prop&amp;Residents'!$P$41:$R$47,3,FALSE))))</f>
        <v/>
      </c>
      <c r="O143" s="610" t="str">
        <f>IF(L143="", "", IF(E143="", "", IF('1B.TransitionalProg'!$H$8&gt;0,"",IF(L143&lt;M143,"overHOUSED?",IF(L143&gt;N143, "OVERcrowded?","")))))</f>
        <v/>
      </c>
      <c r="P143" s="623"/>
      <c r="Q143" s="154"/>
      <c r="R143" s="154"/>
      <c r="S143" s="156"/>
      <c r="T143" s="156"/>
      <c r="U143" s="156"/>
      <c r="V143" s="156"/>
      <c r="W143" s="1580" t="str">
        <f t="shared" si="3"/>
        <v/>
      </c>
      <c r="X143" s="155"/>
      <c r="Y143" s="156"/>
      <c r="Z143" s="233" t="str">
        <f t="shared" si="4"/>
        <v/>
      </c>
      <c r="AA143" s="1447">
        <f>VLOOKUP($C143,'3B.Demographic'!$C$15:$N$414,6,FALSE)</f>
        <v>0</v>
      </c>
      <c r="AB143" s="1447">
        <f>VLOOKUP($C143,'3B.Demographic'!$C$15:$N$414,7,FALSE)</f>
        <v>0</v>
      </c>
      <c r="AC143" s="1447">
        <f>VLOOKUP($C143,'3B.Demographic'!$C$15:$N$414,8,FALSE)</f>
        <v>0</v>
      </c>
      <c r="AD143" s="1447">
        <f>VLOOKUP($C143,'3B.Demographic'!$C$15:$N$414,9,FALSE)</f>
        <v>0</v>
      </c>
      <c r="AE143" s="1447">
        <f>VLOOKUP($C143,'3B.Demographic'!$C$15:$N$414,10,FALSE)</f>
        <v>0</v>
      </c>
      <c r="AF143" s="1475">
        <f>VLOOKUP($C143,'3B.Demographic'!$C$15:$N$414,11,FALSE)</f>
        <v>0</v>
      </c>
      <c r="AG143" s="1229">
        <f>VLOOKUP($C143,'3B.Demographic'!$C$15:$N$414,12,FALSE)</f>
        <v>0</v>
      </c>
    </row>
    <row r="144" spans="1:33" ht="20.100000000000001" customHeight="1">
      <c r="A144" s="217" t="str">
        <f>IF(D144&lt;&gt;"", ' 1A.Prop&amp;Residents'!$B$7, "")</f>
        <v/>
      </c>
      <c r="B144" s="217" t="str">
        <f t="shared" si="5"/>
        <v/>
      </c>
      <c r="C144" s="34">
        <v>130</v>
      </c>
      <c r="D144" s="153"/>
      <c r="E144" s="154"/>
      <c r="F144" s="1775"/>
      <c r="G144" s="155"/>
      <c r="H144" s="156"/>
      <c r="I144" s="154"/>
      <c r="J144" s="157"/>
      <c r="K144" s="156"/>
      <c r="L144" s="154"/>
      <c r="M144" s="609" t="str">
        <f>IF(L144="","",IF(E144="","",IF('1B.TransitionalProg'!$H$8&gt;0,"",VLOOKUP($E144,' 1A.Prop&amp;Residents'!$P$41:$R$47,2,FALSE))))</f>
        <v/>
      </c>
      <c r="N144" s="609" t="str">
        <f>IF(L144="","",IF(E144="","",IF('1B.TransitionalProg'!$H$8&gt;0,"",VLOOKUP($E144,' 1A.Prop&amp;Residents'!$P$41:$R$47,3,FALSE))))</f>
        <v/>
      </c>
      <c r="O144" s="610" t="str">
        <f>IF(L144="", "", IF(E144="", "", IF('1B.TransitionalProg'!$H$8&gt;0,"",IF(L144&lt;M144,"overHOUSED?",IF(L144&gt;N144, "OVERcrowded?","")))))</f>
        <v/>
      </c>
      <c r="P144" s="623"/>
      <c r="Q144" s="154"/>
      <c r="R144" s="154"/>
      <c r="S144" s="156"/>
      <c r="T144" s="156"/>
      <c r="U144" s="156"/>
      <c r="V144" s="156"/>
      <c r="W144" s="1580" t="str">
        <f t="shared" ref="W144:W207" si="6">IF(U144&gt;0, IF(K144&gt;0, (U144+V144)*12/K144, ""),"")</f>
        <v/>
      </c>
      <c r="X144" s="155"/>
      <c r="Y144" s="156"/>
      <c r="Z144" s="233" t="str">
        <f t="shared" ref="Z144:Z207" si="7">IF(Y144="", "", IF(U144-Y144=0,"",IF(V144&gt;0,  Y144/(U144+V144-Y144),Y144/(U144-Y144))))</f>
        <v/>
      </c>
      <c r="AA144" s="1447">
        <f>VLOOKUP($C144,'3B.Demographic'!$C$15:$N$414,6,FALSE)</f>
        <v>0</v>
      </c>
      <c r="AB144" s="1447">
        <f>VLOOKUP($C144,'3B.Demographic'!$C$15:$N$414,7,FALSE)</f>
        <v>0</v>
      </c>
      <c r="AC144" s="1447">
        <f>VLOOKUP($C144,'3B.Demographic'!$C$15:$N$414,8,FALSE)</f>
        <v>0</v>
      </c>
      <c r="AD144" s="1447">
        <f>VLOOKUP($C144,'3B.Demographic'!$C$15:$N$414,9,FALSE)</f>
        <v>0</v>
      </c>
      <c r="AE144" s="1447">
        <f>VLOOKUP($C144,'3B.Demographic'!$C$15:$N$414,10,FALSE)</f>
        <v>0</v>
      </c>
      <c r="AF144" s="1475">
        <f>VLOOKUP($C144,'3B.Demographic'!$C$15:$N$414,11,FALSE)</f>
        <v>0</v>
      </c>
      <c r="AG144" s="1229">
        <f>VLOOKUP($C144,'3B.Demographic'!$C$15:$N$414,12,FALSE)</f>
        <v>0</v>
      </c>
    </row>
    <row r="145" spans="1:33" ht="20.100000000000001" customHeight="1">
      <c r="A145" s="217" t="str">
        <f>IF(D145&lt;&gt;"", ' 1A.Prop&amp;Residents'!$B$7, "")</f>
        <v/>
      </c>
      <c r="B145" s="217" t="str">
        <f t="shared" ref="B145:B208" si="8">IF(D145&lt;&gt;"", B$15, "")</f>
        <v/>
      </c>
      <c r="C145" s="34">
        <v>131</v>
      </c>
      <c r="D145" s="153"/>
      <c r="E145" s="154"/>
      <c r="F145" s="1775"/>
      <c r="G145" s="155"/>
      <c r="H145" s="156"/>
      <c r="I145" s="154"/>
      <c r="J145" s="157"/>
      <c r="K145" s="156"/>
      <c r="L145" s="154"/>
      <c r="M145" s="609" t="str">
        <f>IF(L145="","",IF(E145="","",IF('1B.TransitionalProg'!$H$8&gt;0,"",VLOOKUP($E145,' 1A.Prop&amp;Residents'!$P$41:$R$47,2,FALSE))))</f>
        <v/>
      </c>
      <c r="N145" s="609" t="str">
        <f>IF(L145="","",IF(E145="","",IF('1B.TransitionalProg'!$H$8&gt;0,"",VLOOKUP($E145,' 1A.Prop&amp;Residents'!$P$41:$R$47,3,FALSE))))</f>
        <v/>
      </c>
      <c r="O145" s="610" t="str">
        <f>IF(L145="", "", IF(E145="", "", IF('1B.TransitionalProg'!$H$8&gt;0,"",IF(L145&lt;M145,"overHOUSED?",IF(L145&gt;N145, "OVERcrowded?","")))))</f>
        <v/>
      </c>
      <c r="P145" s="623"/>
      <c r="Q145" s="154"/>
      <c r="R145" s="154"/>
      <c r="S145" s="156"/>
      <c r="T145" s="156"/>
      <c r="U145" s="156"/>
      <c r="V145" s="156"/>
      <c r="W145" s="1580" t="str">
        <f t="shared" si="6"/>
        <v/>
      </c>
      <c r="X145" s="155"/>
      <c r="Y145" s="156"/>
      <c r="Z145" s="233" t="str">
        <f t="shared" si="7"/>
        <v/>
      </c>
      <c r="AA145" s="1447">
        <f>VLOOKUP($C145,'3B.Demographic'!$C$15:$N$414,6,FALSE)</f>
        <v>0</v>
      </c>
      <c r="AB145" s="1447">
        <f>VLOOKUP($C145,'3B.Demographic'!$C$15:$N$414,7,FALSE)</f>
        <v>0</v>
      </c>
      <c r="AC145" s="1447">
        <f>VLOOKUP($C145,'3B.Demographic'!$C$15:$N$414,8,FALSE)</f>
        <v>0</v>
      </c>
      <c r="AD145" s="1447">
        <f>VLOOKUP($C145,'3B.Demographic'!$C$15:$N$414,9,FALSE)</f>
        <v>0</v>
      </c>
      <c r="AE145" s="1447">
        <f>VLOOKUP($C145,'3B.Demographic'!$C$15:$N$414,10,FALSE)</f>
        <v>0</v>
      </c>
      <c r="AF145" s="1475">
        <f>VLOOKUP($C145,'3B.Demographic'!$C$15:$N$414,11,FALSE)</f>
        <v>0</v>
      </c>
      <c r="AG145" s="1229">
        <f>VLOOKUP($C145,'3B.Demographic'!$C$15:$N$414,12,FALSE)</f>
        <v>0</v>
      </c>
    </row>
    <row r="146" spans="1:33" ht="20.100000000000001" customHeight="1">
      <c r="A146" s="217" t="str">
        <f>IF(D146&lt;&gt;"", ' 1A.Prop&amp;Residents'!$B$7, "")</f>
        <v/>
      </c>
      <c r="B146" s="217" t="str">
        <f t="shared" si="8"/>
        <v/>
      </c>
      <c r="C146" s="34">
        <v>132</v>
      </c>
      <c r="D146" s="153"/>
      <c r="E146" s="154"/>
      <c r="F146" s="1775"/>
      <c r="G146" s="155"/>
      <c r="H146" s="156"/>
      <c r="I146" s="154"/>
      <c r="J146" s="157"/>
      <c r="K146" s="156"/>
      <c r="L146" s="154"/>
      <c r="M146" s="609" t="str">
        <f>IF(L146="","",IF(E146="","",IF('1B.TransitionalProg'!$H$8&gt;0,"",VLOOKUP($E146,' 1A.Prop&amp;Residents'!$P$41:$R$47,2,FALSE))))</f>
        <v/>
      </c>
      <c r="N146" s="609" t="str">
        <f>IF(L146="","",IF(E146="","",IF('1B.TransitionalProg'!$H$8&gt;0,"",VLOOKUP($E146,' 1A.Prop&amp;Residents'!$P$41:$R$47,3,FALSE))))</f>
        <v/>
      </c>
      <c r="O146" s="610" t="str">
        <f>IF(L146="", "", IF(E146="", "", IF('1B.TransitionalProg'!$H$8&gt;0,"",IF(L146&lt;M146,"overHOUSED?",IF(L146&gt;N146, "OVERcrowded?","")))))</f>
        <v/>
      </c>
      <c r="P146" s="623"/>
      <c r="Q146" s="154"/>
      <c r="R146" s="154"/>
      <c r="S146" s="156"/>
      <c r="T146" s="156"/>
      <c r="U146" s="156"/>
      <c r="V146" s="156"/>
      <c r="W146" s="1580" t="str">
        <f t="shared" si="6"/>
        <v/>
      </c>
      <c r="X146" s="155"/>
      <c r="Y146" s="156"/>
      <c r="Z146" s="233" t="str">
        <f t="shared" si="7"/>
        <v/>
      </c>
      <c r="AA146" s="1447">
        <f>VLOOKUP($C146,'3B.Demographic'!$C$15:$N$414,6,FALSE)</f>
        <v>0</v>
      </c>
      <c r="AB146" s="1447">
        <f>VLOOKUP($C146,'3B.Demographic'!$C$15:$N$414,7,FALSE)</f>
        <v>0</v>
      </c>
      <c r="AC146" s="1447">
        <f>VLOOKUP($C146,'3B.Demographic'!$C$15:$N$414,8,FALSE)</f>
        <v>0</v>
      </c>
      <c r="AD146" s="1447">
        <f>VLOOKUP($C146,'3B.Demographic'!$C$15:$N$414,9,FALSE)</f>
        <v>0</v>
      </c>
      <c r="AE146" s="1447">
        <f>VLOOKUP($C146,'3B.Demographic'!$C$15:$N$414,10,FALSE)</f>
        <v>0</v>
      </c>
      <c r="AF146" s="1475">
        <f>VLOOKUP($C146,'3B.Demographic'!$C$15:$N$414,11,FALSE)</f>
        <v>0</v>
      </c>
      <c r="AG146" s="1229">
        <f>VLOOKUP($C146,'3B.Demographic'!$C$15:$N$414,12,FALSE)</f>
        <v>0</v>
      </c>
    </row>
    <row r="147" spans="1:33" ht="20.100000000000001" customHeight="1">
      <c r="A147" s="217" t="str">
        <f>IF(D147&lt;&gt;"", ' 1A.Prop&amp;Residents'!$B$7, "")</f>
        <v/>
      </c>
      <c r="B147" s="217" t="str">
        <f t="shared" si="8"/>
        <v/>
      </c>
      <c r="C147" s="34">
        <v>133</v>
      </c>
      <c r="D147" s="153"/>
      <c r="E147" s="154"/>
      <c r="F147" s="1775"/>
      <c r="G147" s="155"/>
      <c r="H147" s="156"/>
      <c r="I147" s="154"/>
      <c r="J147" s="157"/>
      <c r="K147" s="156"/>
      <c r="L147" s="154"/>
      <c r="M147" s="609" t="str">
        <f>IF(L147="","",IF(E147="","",IF('1B.TransitionalProg'!$H$8&gt;0,"",VLOOKUP($E147,' 1A.Prop&amp;Residents'!$P$41:$R$47,2,FALSE))))</f>
        <v/>
      </c>
      <c r="N147" s="609" t="str">
        <f>IF(L147="","",IF(E147="","",IF('1B.TransitionalProg'!$H$8&gt;0,"",VLOOKUP($E147,' 1A.Prop&amp;Residents'!$P$41:$R$47,3,FALSE))))</f>
        <v/>
      </c>
      <c r="O147" s="610" t="str">
        <f>IF(L147="", "", IF(E147="", "", IF('1B.TransitionalProg'!$H$8&gt;0,"",IF(L147&lt;M147,"overHOUSED?",IF(L147&gt;N147, "OVERcrowded?","")))))</f>
        <v/>
      </c>
      <c r="P147" s="623"/>
      <c r="Q147" s="154"/>
      <c r="R147" s="154"/>
      <c r="S147" s="156"/>
      <c r="T147" s="156"/>
      <c r="U147" s="156"/>
      <c r="V147" s="156"/>
      <c r="W147" s="1580" t="str">
        <f t="shared" si="6"/>
        <v/>
      </c>
      <c r="X147" s="155"/>
      <c r="Y147" s="156"/>
      <c r="Z147" s="233" t="str">
        <f t="shared" si="7"/>
        <v/>
      </c>
      <c r="AA147" s="1447">
        <f>VLOOKUP($C147,'3B.Demographic'!$C$15:$N$414,6,FALSE)</f>
        <v>0</v>
      </c>
      <c r="AB147" s="1447">
        <f>VLOOKUP($C147,'3B.Demographic'!$C$15:$N$414,7,FALSE)</f>
        <v>0</v>
      </c>
      <c r="AC147" s="1447">
        <f>VLOOKUP($C147,'3B.Demographic'!$C$15:$N$414,8,FALSE)</f>
        <v>0</v>
      </c>
      <c r="AD147" s="1447">
        <f>VLOOKUP($C147,'3B.Demographic'!$C$15:$N$414,9,FALSE)</f>
        <v>0</v>
      </c>
      <c r="AE147" s="1447">
        <f>VLOOKUP($C147,'3B.Demographic'!$C$15:$N$414,10,FALSE)</f>
        <v>0</v>
      </c>
      <c r="AF147" s="1475">
        <f>VLOOKUP($C147,'3B.Demographic'!$C$15:$N$414,11,FALSE)</f>
        <v>0</v>
      </c>
      <c r="AG147" s="1229">
        <f>VLOOKUP($C147,'3B.Demographic'!$C$15:$N$414,12,FALSE)</f>
        <v>0</v>
      </c>
    </row>
    <row r="148" spans="1:33" ht="20.100000000000001" customHeight="1">
      <c r="A148" s="217" t="str">
        <f>IF(D148&lt;&gt;"", ' 1A.Prop&amp;Residents'!$B$7, "")</f>
        <v/>
      </c>
      <c r="B148" s="217" t="str">
        <f t="shared" si="8"/>
        <v/>
      </c>
      <c r="C148" s="34">
        <v>134</v>
      </c>
      <c r="D148" s="153"/>
      <c r="E148" s="154"/>
      <c r="F148" s="1775"/>
      <c r="G148" s="155"/>
      <c r="H148" s="156"/>
      <c r="I148" s="154"/>
      <c r="J148" s="157"/>
      <c r="K148" s="156"/>
      <c r="L148" s="154"/>
      <c r="M148" s="609" t="str">
        <f>IF(L148="","",IF(E148="","",IF('1B.TransitionalProg'!$H$8&gt;0,"",VLOOKUP($E148,' 1A.Prop&amp;Residents'!$P$41:$R$47,2,FALSE))))</f>
        <v/>
      </c>
      <c r="N148" s="609" t="str">
        <f>IF(L148="","",IF(E148="","",IF('1B.TransitionalProg'!$H$8&gt;0,"",VLOOKUP($E148,' 1A.Prop&amp;Residents'!$P$41:$R$47,3,FALSE))))</f>
        <v/>
      </c>
      <c r="O148" s="610" t="str">
        <f>IF(L148="", "", IF(E148="", "", IF('1B.TransitionalProg'!$H$8&gt;0,"",IF(L148&lt;M148,"overHOUSED?",IF(L148&gt;N148, "OVERcrowded?","")))))</f>
        <v/>
      </c>
      <c r="P148" s="623"/>
      <c r="Q148" s="154"/>
      <c r="R148" s="154"/>
      <c r="S148" s="156"/>
      <c r="T148" s="156"/>
      <c r="U148" s="156"/>
      <c r="V148" s="156"/>
      <c r="W148" s="1580" t="str">
        <f t="shared" si="6"/>
        <v/>
      </c>
      <c r="X148" s="155"/>
      <c r="Y148" s="156"/>
      <c r="Z148" s="233" t="str">
        <f t="shared" si="7"/>
        <v/>
      </c>
      <c r="AA148" s="1447">
        <f>VLOOKUP($C148,'3B.Demographic'!$C$15:$N$414,6,FALSE)</f>
        <v>0</v>
      </c>
      <c r="AB148" s="1447">
        <f>VLOOKUP($C148,'3B.Demographic'!$C$15:$N$414,7,FALSE)</f>
        <v>0</v>
      </c>
      <c r="AC148" s="1447">
        <f>VLOOKUP($C148,'3B.Demographic'!$C$15:$N$414,8,FALSE)</f>
        <v>0</v>
      </c>
      <c r="AD148" s="1447">
        <f>VLOOKUP($C148,'3B.Demographic'!$C$15:$N$414,9,FALSE)</f>
        <v>0</v>
      </c>
      <c r="AE148" s="1447">
        <f>VLOOKUP($C148,'3B.Demographic'!$C$15:$N$414,10,FALSE)</f>
        <v>0</v>
      </c>
      <c r="AF148" s="1475">
        <f>VLOOKUP($C148,'3B.Demographic'!$C$15:$N$414,11,FALSE)</f>
        <v>0</v>
      </c>
      <c r="AG148" s="1229">
        <f>VLOOKUP($C148,'3B.Demographic'!$C$15:$N$414,12,FALSE)</f>
        <v>0</v>
      </c>
    </row>
    <row r="149" spans="1:33" ht="20.100000000000001" customHeight="1">
      <c r="A149" s="217" t="str">
        <f>IF(D149&lt;&gt;"", ' 1A.Prop&amp;Residents'!$B$7, "")</f>
        <v/>
      </c>
      <c r="B149" s="217" t="str">
        <f t="shared" si="8"/>
        <v/>
      </c>
      <c r="C149" s="34">
        <v>135</v>
      </c>
      <c r="D149" s="153"/>
      <c r="E149" s="154"/>
      <c r="F149" s="1775"/>
      <c r="G149" s="155"/>
      <c r="H149" s="156"/>
      <c r="I149" s="154"/>
      <c r="J149" s="157"/>
      <c r="K149" s="156"/>
      <c r="L149" s="154"/>
      <c r="M149" s="609" t="str">
        <f>IF(L149="","",IF(E149="","",IF('1B.TransitionalProg'!$H$8&gt;0,"",VLOOKUP($E149,' 1A.Prop&amp;Residents'!$P$41:$R$47,2,FALSE))))</f>
        <v/>
      </c>
      <c r="N149" s="609" t="str">
        <f>IF(L149="","",IF(E149="","",IF('1B.TransitionalProg'!$H$8&gt;0,"",VLOOKUP($E149,' 1A.Prop&amp;Residents'!$P$41:$R$47,3,FALSE))))</f>
        <v/>
      </c>
      <c r="O149" s="610" t="str">
        <f>IF(L149="", "", IF(E149="", "", IF('1B.TransitionalProg'!$H$8&gt;0,"",IF(L149&lt;M149,"overHOUSED?",IF(L149&gt;N149, "OVERcrowded?","")))))</f>
        <v/>
      </c>
      <c r="P149" s="623"/>
      <c r="Q149" s="154"/>
      <c r="R149" s="154"/>
      <c r="S149" s="156"/>
      <c r="T149" s="156"/>
      <c r="U149" s="156"/>
      <c r="V149" s="156"/>
      <c r="W149" s="1580" t="str">
        <f t="shared" si="6"/>
        <v/>
      </c>
      <c r="X149" s="155"/>
      <c r="Y149" s="156"/>
      <c r="Z149" s="233" t="str">
        <f t="shared" si="7"/>
        <v/>
      </c>
      <c r="AA149" s="1447">
        <f>VLOOKUP($C149,'3B.Demographic'!$C$15:$N$414,6,FALSE)</f>
        <v>0</v>
      </c>
      <c r="AB149" s="1447">
        <f>VLOOKUP($C149,'3B.Demographic'!$C$15:$N$414,7,FALSE)</f>
        <v>0</v>
      </c>
      <c r="AC149" s="1447">
        <f>VLOOKUP($C149,'3B.Demographic'!$C$15:$N$414,8,FALSE)</f>
        <v>0</v>
      </c>
      <c r="AD149" s="1447">
        <f>VLOOKUP($C149,'3B.Demographic'!$C$15:$N$414,9,FALSE)</f>
        <v>0</v>
      </c>
      <c r="AE149" s="1447">
        <f>VLOOKUP($C149,'3B.Demographic'!$C$15:$N$414,10,FALSE)</f>
        <v>0</v>
      </c>
      <c r="AF149" s="1475">
        <f>VLOOKUP($C149,'3B.Demographic'!$C$15:$N$414,11,FALSE)</f>
        <v>0</v>
      </c>
      <c r="AG149" s="1229">
        <f>VLOOKUP($C149,'3B.Demographic'!$C$15:$N$414,12,FALSE)</f>
        <v>0</v>
      </c>
    </row>
    <row r="150" spans="1:33" ht="20.100000000000001" customHeight="1">
      <c r="A150" s="217" t="str">
        <f>IF(D150&lt;&gt;"", ' 1A.Prop&amp;Residents'!$B$7, "")</f>
        <v/>
      </c>
      <c r="B150" s="217" t="str">
        <f t="shared" si="8"/>
        <v/>
      </c>
      <c r="C150" s="34">
        <v>136</v>
      </c>
      <c r="D150" s="153"/>
      <c r="E150" s="154"/>
      <c r="F150" s="1775"/>
      <c r="G150" s="155"/>
      <c r="H150" s="156"/>
      <c r="I150" s="154"/>
      <c r="J150" s="157"/>
      <c r="K150" s="156"/>
      <c r="L150" s="154"/>
      <c r="M150" s="609" t="str">
        <f>IF(L150="","",IF(E150="","",IF('1B.TransitionalProg'!$H$8&gt;0,"",VLOOKUP($E150,' 1A.Prop&amp;Residents'!$P$41:$R$47,2,FALSE))))</f>
        <v/>
      </c>
      <c r="N150" s="609" t="str">
        <f>IF(L150="","",IF(E150="","",IF('1B.TransitionalProg'!$H$8&gt;0,"",VLOOKUP($E150,' 1A.Prop&amp;Residents'!$P$41:$R$47,3,FALSE))))</f>
        <v/>
      </c>
      <c r="O150" s="610" t="str">
        <f>IF(L150="", "", IF(E150="", "", IF('1B.TransitionalProg'!$H$8&gt;0,"",IF(L150&lt;M150,"overHOUSED?",IF(L150&gt;N150, "OVERcrowded?","")))))</f>
        <v/>
      </c>
      <c r="P150" s="623"/>
      <c r="Q150" s="154"/>
      <c r="R150" s="154"/>
      <c r="S150" s="156"/>
      <c r="T150" s="156"/>
      <c r="U150" s="156"/>
      <c r="V150" s="156"/>
      <c r="W150" s="1580" t="str">
        <f t="shared" si="6"/>
        <v/>
      </c>
      <c r="X150" s="155"/>
      <c r="Y150" s="156"/>
      <c r="Z150" s="233" t="str">
        <f t="shared" si="7"/>
        <v/>
      </c>
      <c r="AA150" s="1447">
        <f>VLOOKUP($C150,'3B.Demographic'!$C$15:$N$414,6,FALSE)</f>
        <v>0</v>
      </c>
      <c r="AB150" s="1447">
        <f>VLOOKUP($C150,'3B.Demographic'!$C$15:$N$414,7,FALSE)</f>
        <v>0</v>
      </c>
      <c r="AC150" s="1447">
        <f>VLOOKUP($C150,'3B.Demographic'!$C$15:$N$414,8,FALSE)</f>
        <v>0</v>
      </c>
      <c r="AD150" s="1447">
        <f>VLOOKUP($C150,'3B.Demographic'!$C$15:$N$414,9,FALSE)</f>
        <v>0</v>
      </c>
      <c r="AE150" s="1447">
        <f>VLOOKUP($C150,'3B.Demographic'!$C$15:$N$414,10,FALSE)</f>
        <v>0</v>
      </c>
      <c r="AF150" s="1475">
        <f>VLOOKUP($C150,'3B.Demographic'!$C$15:$N$414,11,FALSE)</f>
        <v>0</v>
      </c>
      <c r="AG150" s="1229">
        <f>VLOOKUP($C150,'3B.Demographic'!$C$15:$N$414,12,FALSE)</f>
        <v>0</v>
      </c>
    </row>
    <row r="151" spans="1:33" ht="20.100000000000001" customHeight="1">
      <c r="A151" s="217" t="str">
        <f>IF(D151&lt;&gt;"", ' 1A.Prop&amp;Residents'!$B$7, "")</f>
        <v/>
      </c>
      <c r="B151" s="217" t="str">
        <f t="shared" si="8"/>
        <v/>
      </c>
      <c r="C151" s="34">
        <v>137</v>
      </c>
      <c r="D151" s="153"/>
      <c r="E151" s="154"/>
      <c r="F151" s="1775"/>
      <c r="G151" s="155"/>
      <c r="H151" s="156"/>
      <c r="I151" s="154"/>
      <c r="J151" s="157"/>
      <c r="K151" s="156"/>
      <c r="L151" s="154"/>
      <c r="M151" s="609" t="str">
        <f>IF(L151="","",IF(E151="","",IF('1B.TransitionalProg'!$H$8&gt;0,"",VLOOKUP($E151,' 1A.Prop&amp;Residents'!$P$41:$R$47,2,FALSE))))</f>
        <v/>
      </c>
      <c r="N151" s="609" t="str">
        <f>IF(L151="","",IF(E151="","",IF('1B.TransitionalProg'!$H$8&gt;0,"",VLOOKUP($E151,' 1A.Prop&amp;Residents'!$P$41:$R$47,3,FALSE))))</f>
        <v/>
      </c>
      <c r="O151" s="610" t="str">
        <f>IF(L151="", "", IF(E151="", "", IF('1B.TransitionalProg'!$H$8&gt;0,"",IF(L151&lt;M151,"overHOUSED?",IF(L151&gt;N151, "OVERcrowded?","")))))</f>
        <v/>
      </c>
      <c r="P151" s="623"/>
      <c r="Q151" s="154"/>
      <c r="R151" s="154"/>
      <c r="S151" s="156"/>
      <c r="T151" s="156"/>
      <c r="U151" s="156"/>
      <c r="V151" s="156"/>
      <c r="W151" s="1580" t="str">
        <f t="shared" si="6"/>
        <v/>
      </c>
      <c r="X151" s="155"/>
      <c r="Y151" s="156"/>
      <c r="Z151" s="233" t="str">
        <f t="shared" si="7"/>
        <v/>
      </c>
      <c r="AA151" s="1447">
        <f>VLOOKUP($C151,'3B.Demographic'!$C$15:$N$414,6,FALSE)</f>
        <v>0</v>
      </c>
      <c r="AB151" s="1447">
        <f>VLOOKUP($C151,'3B.Demographic'!$C$15:$N$414,7,FALSE)</f>
        <v>0</v>
      </c>
      <c r="AC151" s="1447">
        <f>VLOOKUP($C151,'3B.Demographic'!$C$15:$N$414,8,FALSE)</f>
        <v>0</v>
      </c>
      <c r="AD151" s="1447">
        <f>VLOOKUP($C151,'3B.Demographic'!$C$15:$N$414,9,FALSE)</f>
        <v>0</v>
      </c>
      <c r="AE151" s="1447">
        <f>VLOOKUP($C151,'3B.Demographic'!$C$15:$N$414,10,FALSE)</f>
        <v>0</v>
      </c>
      <c r="AF151" s="1475">
        <f>VLOOKUP($C151,'3B.Demographic'!$C$15:$N$414,11,FALSE)</f>
        <v>0</v>
      </c>
      <c r="AG151" s="1229">
        <f>VLOOKUP($C151,'3B.Demographic'!$C$15:$N$414,12,FALSE)</f>
        <v>0</v>
      </c>
    </row>
    <row r="152" spans="1:33" ht="20.100000000000001" customHeight="1">
      <c r="A152" s="217" t="str">
        <f>IF(D152&lt;&gt;"", ' 1A.Prop&amp;Residents'!$B$7, "")</f>
        <v/>
      </c>
      <c r="B152" s="217" t="str">
        <f t="shared" si="8"/>
        <v/>
      </c>
      <c r="C152" s="34">
        <v>138</v>
      </c>
      <c r="D152" s="153"/>
      <c r="E152" s="154"/>
      <c r="F152" s="1775"/>
      <c r="G152" s="155"/>
      <c r="H152" s="156"/>
      <c r="I152" s="154"/>
      <c r="J152" s="157"/>
      <c r="K152" s="156"/>
      <c r="L152" s="154"/>
      <c r="M152" s="609" t="str">
        <f>IF(L152="","",IF(E152="","",IF('1B.TransitionalProg'!$H$8&gt;0,"",VLOOKUP($E152,' 1A.Prop&amp;Residents'!$P$41:$R$47,2,FALSE))))</f>
        <v/>
      </c>
      <c r="N152" s="609" t="str">
        <f>IF(L152="","",IF(E152="","",IF('1B.TransitionalProg'!$H$8&gt;0,"",VLOOKUP($E152,' 1A.Prop&amp;Residents'!$P$41:$R$47,3,FALSE))))</f>
        <v/>
      </c>
      <c r="O152" s="610" t="str">
        <f>IF(L152="", "", IF(E152="", "", IF('1B.TransitionalProg'!$H$8&gt;0,"",IF(L152&lt;M152,"overHOUSED?",IF(L152&gt;N152, "OVERcrowded?","")))))</f>
        <v/>
      </c>
      <c r="P152" s="623"/>
      <c r="Q152" s="154"/>
      <c r="R152" s="154"/>
      <c r="S152" s="156"/>
      <c r="T152" s="156"/>
      <c r="U152" s="156"/>
      <c r="V152" s="156"/>
      <c r="W152" s="1580" t="str">
        <f t="shared" si="6"/>
        <v/>
      </c>
      <c r="X152" s="155"/>
      <c r="Y152" s="156"/>
      <c r="Z152" s="233" t="str">
        <f t="shared" si="7"/>
        <v/>
      </c>
      <c r="AA152" s="1447">
        <f>VLOOKUP($C152,'3B.Demographic'!$C$15:$N$414,6,FALSE)</f>
        <v>0</v>
      </c>
      <c r="AB152" s="1447">
        <f>VLOOKUP($C152,'3B.Demographic'!$C$15:$N$414,7,FALSE)</f>
        <v>0</v>
      </c>
      <c r="AC152" s="1447">
        <f>VLOOKUP($C152,'3B.Demographic'!$C$15:$N$414,8,FALSE)</f>
        <v>0</v>
      </c>
      <c r="AD152" s="1447">
        <f>VLOOKUP($C152,'3B.Demographic'!$C$15:$N$414,9,FALSE)</f>
        <v>0</v>
      </c>
      <c r="AE152" s="1447">
        <f>VLOOKUP($C152,'3B.Demographic'!$C$15:$N$414,10,FALSE)</f>
        <v>0</v>
      </c>
      <c r="AF152" s="1475">
        <f>VLOOKUP($C152,'3B.Demographic'!$C$15:$N$414,11,FALSE)</f>
        <v>0</v>
      </c>
      <c r="AG152" s="1229">
        <f>VLOOKUP($C152,'3B.Demographic'!$C$15:$N$414,12,FALSE)</f>
        <v>0</v>
      </c>
    </row>
    <row r="153" spans="1:33" ht="20.100000000000001" customHeight="1">
      <c r="A153" s="217" t="str">
        <f>IF(D153&lt;&gt;"", ' 1A.Prop&amp;Residents'!$B$7, "")</f>
        <v/>
      </c>
      <c r="B153" s="217" t="str">
        <f t="shared" si="8"/>
        <v/>
      </c>
      <c r="C153" s="34">
        <v>139</v>
      </c>
      <c r="D153" s="153"/>
      <c r="E153" s="154"/>
      <c r="F153" s="1775"/>
      <c r="G153" s="155"/>
      <c r="H153" s="156"/>
      <c r="I153" s="154"/>
      <c r="J153" s="157"/>
      <c r="K153" s="156"/>
      <c r="L153" s="154"/>
      <c r="M153" s="609" t="str">
        <f>IF(L153="","",IF(E153="","",IF('1B.TransitionalProg'!$H$8&gt;0,"",VLOOKUP($E153,' 1A.Prop&amp;Residents'!$P$41:$R$47,2,FALSE))))</f>
        <v/>
      </c>
      <c r="N153" s="609" t="str">
        <f>IF(L153="","",IF(E153="","",IF('1B.TransitionalProg'!$H$8&gt;0,"",VLOOKUP($E153,' 1A.Prop&amp;Residents'!$P$41:$R$47,3,FALSE))))</f>
        <v/>
      </c>
      <c r="O153" s="610" t="str">
        <f>IF(L153="", "", IF(E153="", "", IF('1B.TransitionalProg'!$H$8&gt;0,"",IF(L153&lt;M153,"overHOUSED?",IF(L153&gt;N153, "OVERcrowded?","")))))</f>
        <v/>
      </c>
      <c r="P153" s="623"/>
      <c r="Q153" s="154"/>
      <c r="R153" s="154"/>
      <c r="S153" s="156"/>
      <c r="T153" s="156"/>
      <c r="U153" s="156"/>
      <c r="V153" s="156"/>
      <c r="W153" s="1580" t="str">
        <f t="shared" si="6"/>
        <v/>
      </c>
      <c r="X153" s="155"/>
      <c r="Y153" s="156"/>
      <c r="Z153" s="233" t="str">
        <f t="shared" si="7"/>
        <v/>
      </c>
      <c r="AA153" s="1447">
        <f>VLOOKUP($C153,'3B.Demographic'!$C$15:$N$414,6,FALSE)</f>
        <v>0</v>
      </c>
      <c r="AB153" s="1447">
        <f>VLOOKUP($C153,'3B.Demographic'!$C$15:$N$414,7,FALSE)</f>
        <v>0</v>
      </c>
      <c r="AC153" s="1447">
        <f>VLOOKUP($C153,'3B.Demographic'!$C$15:$N$414,8,FALSE)</f>
        <v>0</v>
      </c>
      <c r="AD153" s="1447">
        <f>VLOOKUP($C153,'3B.Demographic'!$C$15:$N$414,9,FALSE)</f>
        <v>0</v>
      </c>
      <c r="AE153" s="1447">
        <f>VLOOKUP($C153,'3B.Demographic'!$C$15:$N$414,10,FALSE)</f>
        <v>0</v>
      </c>
      <c r="AF153" s="1475">
        <f>VLOOKUP($C153,'3B.Demographic'!$C$15:$N$414,11,FALSE)</f>
        <v>0</v>
      </c>
      <c r="AG153" s="1229">
        <f>VLOOKUP($C153,'3B.Demographic'!$C$15:$N$414,12,FALSE)</f>
        <v>0</v>
      </c>
    </row>
    <row r="154" spans="1:33" ht="20.100000000000001" customHeight="1">
      <c r="A154" s="217" t="str">
        <f>IF(D154&lt;&gt;"", ' 1A.Prop&amp;Residents'!$B$7, "")</f>
        <v/>
      </c>
      <c r="B154" s="217" t="str">
        <f t="shared" si="8"/>
        <v/>
      </c>
      <c r="C154" s="34">
        <v>140</v>
      </c>
      <c r="D154" s="153"/>
      <c r="E154" s="154"/>
      <c r="F154" s="1775"/>
      <c r="G154" s="155"/>
      <c r="H154" s="156"/>
      <c r="I154" s="154"/>
      <c r="J154" s="157"/>
      <c r="K154" s="156"/>
      <c r="L154" s="154"/>
      <c r="M154" s="609" t="str">
        <f>IF(L154="","",IF(E154="","",IF('1B.TransitionalProg'!$H$8&gt;0,"",VLOOKUP($E154,' 1A.Prop&amp;Residents'!$P$41:$R$47,2,FALSE))))</f>
        <v/>
      </c>
      <c r="N154" s="609" t="str">
        <f>IF(L154="","",IF(E154="","",IF('1B.TransitionalProg'!$H$8&gt;0,"",VLOOKUP($E154,' 1A.Prop&amp;Residents'!$P$41:$R$47,3,FALSE))))</f>
        <v/>
      </c>
      <c r="O154" s="610" t="str">
        <f>IF(L154="", "", IF(E154="", "", IF('1B.TransitionalProg'!$H$8&gt;0,"",IF(L154&lt;M154,"overHOUSED?",IF(L154&gt;N154, "OVERcrowded?","")))))</f>
        <v/>
      </c>
      <c r="P154" s="623"/>
      <c r="Q154" s="154"/>
      <c r="R154" s="154"/>
      <c r="S154" s="156"/>
      <c r="T154" s="156"/>
      <c r="U154" s="156"/>
      <c r="V154" s="156"/>
      <c r="W154" s="1580" t="str">
        <f t="shared" si="6"/>
        <v/>
      </c>
      <c r="X154" s="155"/>
      <c r="Y154" s="156"/>
      <c r="Z154" s="233" t="str">
        <f t="shared" si="7"/>
        <v/>
      </c>
      <c r="AA154" s="1447">
        <f>VLOOKUP($C154,'3B.Demographic'!$C$15:$N$414,6,FALSE)</f>
        <v>0</v>
      </c>
      <c r="AB154" s="1447">
        <f>VLOOKUP($C154,'3B.Demographic'!$C$15:$N$414,7,FALSE)</f>
        <v>0</v>
      </c>
      <c r="AC154" s="1447">
        <f>VLOOKUP($C154,'3B.Demographic'!$C$15:$N$414,8,FALSE)</f>
        <v>0</v>
      </c>
      <c r="AD154" s="1447">
        <f>VLOOKUP($C154,'3B.Demographic'!$C$15:$N$414,9,FALSE)</f>
        <v>0</v>
      </c>
      <c r="AE154" s="1447">
        <f>VLOOKUP($C154,'3B.Demographic'!$C$15:$N$414,10,FALSE)</f>
        <v>0</v>
      </c>
      <c r="AF154" s="1475">
        <f>VLOOKUP($C154,'3B.Demographic'!$C$15:$N$414,11,FALSE)</f>
        <v>0</v>
      </c>
      <c r="AG154" s="1229">
        <f>VLOOKUP($C154,'3B.Demographic'!$C$15:$N$414,12,FALSE)</f>
        <v>0</v>
      </c>
    </row>
    <row r="155" spans="1:33" ht="20.100000000000001" customHeight="1">
      <c r="A155" s="217" t="str">
        <f>IF(D155&lt;&gt;"", ' 1A.Prop&amp;Residents'!$B$7, "")</f>
        <v/>
      </c>
      <c r="B155" s="217" t="str">
        <f t="shared" si="8"/>
        <v/>
      </c>
      <c r="C155" s="34">
        <v>141</v>
      </c>
      <c r="D155" s="153"/>
      <c r="E155" s="154"/>
      <c r="F155" s="1775"/>
      <c r="G155" s="155"/>
      <c r="H155" s="156"/>
      <c r="I155" s="154"/>
      <c r="J155" s="157"/>
      <c r="K155" s="156"/>
      <c r="L155" s="154"/>
      <c r="M155" s="609" t="str">
        <f>IF(L155="","",IF(E155="","",IF('1B.TransitionalProg'!$H$8&gt;0,"",VLOOKUP($E155,' 1A.Prop&amp;Residents'!$P$41:$R$47,2,FALSE))))</f>
        <v/>
      </c>
      <c r="N155" s="609" t="str">
        <f>IF(L155="","",IF(E155="","",IF('1B.TransitionalProg'!$H$8&gt;0,"",VLOOKUP($E155,' 1A.Prop&amp;Residents'!$P$41:$R$47,3,FALSE))))</f>
        <v/>
      </c>
      <c r="O155" s="610" t="str">
        <f>IF(L155="", "", IF(E155="", "", IF('1B.TransitionalProg'!$H$8&gt;0,"",IF(L155&lt;M155,"overHOUSED?",IF(L155&gt;N155, "OVERcrowded?","")))))</f>
        <v/>
      </c>
      <c r="P155" s="623"/>
      <c r="Q155" s="154"/>
      <c r="R155" s="154"/>
      <c r="S155" s="156"/>
      <c r="T155" s="156"/>
      <c r="U155" s="156"/>
      <c r="V155" s="156"/>
      <c r="W155" s="1580" t="str">
        <f t="shared" si="6"/>
        <v/>
      </c>
      <c r="X155" s="155"/>
      <c r="Y155" s="156"/>
      <c r="Z155" s="233" t="str">
        <f t="shared" si="7"/>
        <v/>
      </c>
      <c r="AA155" s="1447">
        <f>VLOOKUP($C155,'3B.Demographic'!$C$15:$N$414,6,FALSE)</f>
        <v>0</v>
      </c>
      <c r="AB155" s="1447">
        <f>VLOOKUP($C155,'3B.Demographic'!$C$15:$N$414,7,FALSE)</f>
        <v>0</v>
      </c>
      <c r="AC155" s="1447">
        <f>VLOOKUP($C155,'3B.Demographic'!$C$15:$N$414,8,FALSE)</f>
        <v>0</v>
      </c>
      <c r="AD155" s="1447">
        <f>VLOOKUP($C155,'3B.Demographic'!$C$15:$N$414,9,FALSE)</f>
        <v>0</v>
      </c>
      <c r="AE155" s="1447">
        <f>VLOOKUP($C155,'3B.Demographic'!$C$15:$N$414,10,FALSE)</f>
        <v>0</v>
      </c>
      <c r="AF155" s="1475">
        <f>VLOOKUP($C155,'3B.Demographic'!$C$15:$N$414,11,FALSE)</f>
        <v>0</v>
      </c>
      <c r="AG155" s="1229">
        <f>VLOOKUP($C155,'3B.Demographic'!$C$15:$N$414,12,FALSE)</f>
        <v>0</v>
      </c>
    </row>
    <row r="156" spans="1:33" ht="20.100000000000001" customHeight="1">
      <c r="A156" s="217" t="str">
        <f>IF(D156&lt;&gt;"", ' 1A.Prop&amp;Residents'!$B$7, "")</f>
        <v/>
      </c>
      <c r="B156" s="217" t="str">
        <f t="shared" si="8"/>
        <v/>
      </c>
      <c r="C156" s="34">
        <v>142</v>
      </c>
      <c r="D156" s="153"/>
      <c r="E156" s="154"/>
      <c r="F156" s="1775"/>
      <c r="G156" s="155"/>
      <c r="H156" s="156"/>
      <c r="I156" s="154"/>
      <c r="J156" s="157"/>
      <c r="K156" s="156"/>
      <c r="L156" s="154"/>
      <c r="M156" s="609" t="str">
        <f>IF(L156="","",IF(E156="","",IF('1B.TransitionalProg'!$H$8&gt;0,"",VLOOKUP($E156,' 1A.Prop&amp;Residents'!$P$41:$R$47,2,FALSE))))</f>
        <v/>
      </c>
      <c r="N156" s="609" t="str">
        <f>IF(L156="","",IF(E156="","",IF('1B.TransitionalProg'!$H$8&gt;0,"",VLOOKUP($E156,' 1A.Prop&amp;Residents'!$P$41:$R$47,3,FALSE))))</f>
        <v/>
      </c>
      <c r="O156" s="610" t="str">
        <f>IF(L156="", "", IF(E156="", "", IF('1B.TransitionalProg'!$H$8&gt;0,"",IF(L156&lt;M156,"overHOUSED?",IF(L156&gt;N156, "OVERcrowded?","")))))</f>
        <v/>
      </c>
      <c r="P156" s="623"/>
      <c r="Q156" s="154"/>
      <c r="R156" s="154"/>
      <c r="S156" s="156"/>
      <c r="T156" s="156"/>
      <c r="U156" s="156"/>
      <c r="V156" s="156"/>
      <c r="W156" s="1580" t="str">
        <f t="shared" si="6"/>
        <v/>
      </c>
      <c r="X156" s="155"/>
      <c r="Y156" s="156"/>
      <c r="Z156" s="233" t="str">
        <f t="shared" si="7"/>
        <v/>
      </c>
      <c r="AA156" s="1447">
        <f>VLOOKUP($C156,'3B.Demographic'!$C$15:$N$414,6,FALSE)</f>
        <v>0</v>
      </c>
      <c r="AB156" s="1447">
        <f>VLOOKUP($C156,'3B.Demographic'!$C$15:$N$414,7,FALSE)</f>
        <v>0</v>
      </c>
      <c r="AC156" s="1447">
        <f>VLOOKUP($C156,'3B.Demographic'!$C$15:$N$414,8,FALSE)</f>
        <v>0</v>
      </c>
      <c r="AD156" s="1447">
        <f>VLOOKUP($C156,'3B.Demographic'!$C$15:$N$414,9,FALSE)</f>
        <v>0</v>
      </c>
      <c r="AE156" s="1447">
        <f>VLOOKUP($C156,'3B.Demographic'!$C$15:$N$414,10,FALSE)</f>
        <v>0</v>
      </c>
      <c r="AF156" s="1475">
        <f>VLOOKUP($C156,'3B.Demographic'!$C$15:$N$414,11,FALSE)</f>
        <v>0</v>
      </c>
      <c r="AG156" s="1229">
        <f>VLOOKUP($C156,'3B.Demographic'!$C$15:$N$414,12,FALSE)</f>
        <v>0</v>
      </c>
    </row>
    <row r="157" spans="1:33" ht="20.100000000000001" customHeight="1">
      <c r="A157" s="217" t="str">
        <f>IF(D157&lt;&gt;"", ' 1A.Prop&amp;Residents'!$B$7, "")</f>
        <v/>
      </c>
      <c r="B157" s="217" t="str">
        <f t="shared" si="8"/>
        <v/>
      </c>
      <c r="C157" s="34">
        <v>143</v>
      </c>
      <c r="D157" s="153"/>
      <c r="E157" s="154"/>
      <c r="F157" s="1775"/>
      <c r="G157" s="155"/>
      <c r="H157" s="156"/>
      <c r="I157" s="154"/>
      <c r="J157" s="157"/>
      <c r="K157" s="156"/>
      <c r="L157" s="154"/>
      <c r="M157" s="609" t="str">
        <f>IF(L157="","",IF(E157="","",IF('1B.TransitionalProg'!$H$8&gt;0,"",VLOOKUP($E157,' 1A.Prop&amp;Residents'!$P$41:$R$47,2,FALSE))))</f>
        <v/>
      </c>
      <c r="N157" s="609" t="str">
        <f>IF(L157="","",IF(E157="","",IF('1B.TransitionalProg'!$H$8&gt;0,"",VLOOKUP($E157,' 1A.Prop&amp;Residents'!$P$41:$R$47,3,FALSE))))</f>
        <v/>
      </c>
      <c r="O157" s="610" t="str">
        <f>IF(L157="", "", IF(E157="", "", IF('1B.TransitionalProg'!$H$8&gt;0,"",IF(L157&lt;M157,"overHOUSED?",IF(L157&gt;N157, "OVERcrowded?","")))))</f>
        <v/>
      </c>
      <c r="P157" s="623"/>
      <c r="Q157" s="154"/>
      <c r="R157" s="154"/>
      <c r="S157" s="156"/>
      <c r="T157" s="156"/>
      <c r="U157" s="156"/>
      <c r="V157" s="156"/>
      <c r="W157" s="1580" t="str">
        <f t="shared" si="6"/>
        <v/>
      </c>
      <c r="X157" s="155"/>
      <c r="Y157" s="156"/>
      <c r="Z157" s="233" t="str">
        <f t="shared" si="7"/>
        <v/>
      </c>
      <c r="AA157" s="1447">
        <f>VLOOKUP($C157,'3B.Demographic'!$C$15:$N$414,6,FALSE)</f>
        <v>0</v>
      </c>
      <c r="AB157" s="1447">
        <f>VLOOKUP($C157,'3B.Demographic'!$C$15:$N$414,7,FALSE)</f>
        <v>0</v>
      </c>
      <c r="AC157" s="1447">
        <f>VLOOKUP($C157,'3B.Demographic'!$C$15:$N$414,8,FALSE)</f>
        <v>0</v>
      </c>
      <c r="AD157" s="1447">
        <f>VLOOKUP($C157,'3B.Demographic'!$C$15:$N$414,9,FALSE)</f>
        <v>0</v>
      </c>
      <c r="AE157" s="1447">
        <f>VLOOKUP($C157,'3B.Demographic'!$C$15:$N$414,10,FALSE)</f>
        <v>0</v>
      </c>
      <c r="AF157" s="1475">
        <f>VLOOKUP($C157,'3B.Demographic'!$C$15:$N$414,11,FALSE)</f>
        <v>0</v>
      </c>
      <c r="AG157" s="1229">
        <f>VLOOKUP($C157,'3B.Demographic'!$C$15:$N$414,12,FALSE)</f>
        <v>0</v>
      </c>
    </row>
    <row r="158" spans="1:33" ht="20.100000000000001" customHeight="1">
      <c r="A158" s="217" t="str">
        <f>IF(D158&lt;&gt;"", ' 1A.Prop&amp;Residents'!$B$7, "")</f>
        <v/>
      </c>
      <c r="B158" s="217" t="str">
        <f t="shared" si="8"/>
        <v/>
      </c>
      <c r="C158" s="34">
        <v>144</v>
      </c>
      <c r="D158" s="153"/>
      <c r="E158" s="154"/>
      <c r="F158" s="1775"/>
      <c r="G158" s="155"/>
      <c r="H158" s="156"/>
      <c r="I158" s="154"/>
      <c r="J158" s="157"/>
      <c r="K158" s="156"/>
      <c r="L158" s="154"/>
      <c r="M158" s="609" t="str">
        <f>IF(L158="","",IF(E158="","",IF('1B.TransitionalProg'!$H$8&gt;0,"",VLOOKUP($E158,' 1A.Prop&amp;Residents'!$P$41:$R$47,2,FALSE))))</f>
        <v/>
      </c>
      <c r="N158" s="609" t="str">
        <f>IF(L158="","",IF(E158="","",IF('1B.TransitionalProg'!$H$8&gt;0,"",VLOOKUP($E158,' 1A.Prop&amp;Residents'!$P$41:$R$47,3,FALSE))))</f>
        <v/>
      </c>
      <c r="O158" s="610" t="str">
        <f>IF(L158="", "", IF(E158="", "", IF('1B.TransitionalProg'!$H$8&gt;0,"",IF(L158&lt;M158,"overHOUSED?",IF(L158&gt;N158, "OVERcrowded?","")))))</f>
        <v/>
      </c>
      <c r="P158" s="623"/>
      <c r="Q158" s="154"/>
      <c r="R158" s="154"/>
      <c r="S158" s="156"/>
      <c r="T158" s="156"/>
      <c r="U158" s="156"/>
      <c r="V158" s="156"/>
      <c r="W158" s="1580" t="str">
        <f t="shared" si="6"/>
        <v/>
      </c>
      <c r="X158" s="155"/>
      <c r="Y158" s="156"/>
      <c r="Z158" s="233" t="str">
        <f t="shared" si="7"/>
        <v/>
      </c>
      <c r="AA158" s="1447">
        <f>VLOOKUP($C158,'3B.Demographic'!$C$15:$N$414,6,FALSE)</f>
        <v>0</v>
      </c>
      <c r="AB158" s="1447">
        <f>VLOOKUP($C158,'3B.Demographic'!$C$15:$N$414,7,FALSE)</f>
        <v>0</v>
      </c>
      <c r="AC158" s="1447">
        <f>VLOOKUP($C158,'3B.Demographic'!$C$15:$N$414,8,FALSE)</f>
        <v>0</v>
      </c>
      <c r="AD158" s="1447">
        <f>VLOOKUP($C158,'3B.Demographic'!$C$15:$N$414,9,FALSE)</f>
        <v>0</v>
      </c>
      <c r="AE158" s="1447">
        <f>VLOOKUP($C158,'3B.Demographic'!$C$15:$N$414,10,FALSE)</f>
        <v>0</v>
      </c>
      <c r="AF158" s="1475">
        <f>VLOOKUP($C158,'3B.Demographic'!$C$15:$N$414,11,FALSE)</f>
        <v>0</v>
      </c>
      <c r="AG158" s="1229">
        <f>VLOOKUP($C158,'3B.Demographic'!$C$15:$N$414,12,FALSE)</f>
        <v>0</v>
      </c>
    </row>
    <row r="159" spans="1:33" ht="20.100000000000001" customHeight="1">
      <c r="A159" s="217" t="str">
        <f>IF(D159&lt;&gt;"", ' 1A.Prop&amp;Residents'!$B$7, "")</f>
        <v/>
      </c>
      <c r="B159" s="217" t="str">
        <f t="shared" si="8"/>
        <v/>
      </c>
      <c r="C159" s="34">
        <v>145</v>
      </c>
      <c r="D159" s="153"/>
      <c r="E159" s="154"/>
      <c r="F159" s="1775"/>
      <c r="G159" s="155"/>
      <c r="H159" s="156"/>
      <c r="I159" s="154"/>
      <c r="J159" s="157"/>
      <c r="K159" s="156"/>
      <c r="L159" s="154"/>
      <c r="M159" s="609" t="str">
        <f>IF(L159="","",IF(E159="","",IF('1B.TransitionalProg'!$H$8&gt;0,"",VLOOKUP($E159,' 1A.Prop&amp;Residents'!$P$41:$R$47,2,FALSE))))</f>
        <v/>
      </c>
      <c r="N159" s="609" t="str">
        <f>IF(L159="","",IF(E159="","",IF('1B.TransitionalProg'!$H$8&gt;0,"",VLOOKUP($E159,' 1A.Prop&amp;Residents'!$P$41:$R$47,3,FALSE))))</f>
        <v/>
      </c>
      <c r="O159" s="610" t="str">
        <f>IF(L159="", "", IF(E159="", "", IF('1B.TransitionalProg'!$H$8&gt;0,"",IF(L159&lt;M159,"overHOUSED?",IF(L159&gt;N159, "OVERcrowded?","")))))</f>
        <v/>
      </c>
      <c r="P159" s="623"/>
      <c r="Q159" s="154"/>
      <c r="R159" s="154"/>
      <c r="S159" s="156"/>
      <c r="T159" s="156"/>
      <c r="U159" s="156"/>
      <c r="V159" s="156"/>
      <c r="W159" s="1580" t="str">
        <f t="shared" si="6"/>
        <v/>
      </c>
      <c r="X159" s="155"/>
      <c r="Y159" s="156"/>
      <c r="Z159" s="233" t="str">
        <f t="shared" si="7"/>
        <v/>
      </c>
      <c r="AA159" s="1447">
        <f>VLOOKUP($C159,'3B.Demographic'!$C$15:$N$414,6,FALSE)</f>
        <v>0</v>
      </c>
      <c r="AB159" s="1447">
        <f>VLOOKUP($C159,'3B.Demographic'!$C$15:$N$414,7,FALSE)</f>
        <v>0</v>
      </c>
      <c r="AC159" s="1447">
        <f>VLOOKUP($C159,'3B.Demographic'!$C$15:$N$414,8,FALSE)</f>
        <v>0</v>
      </c>
      <c r="AD159" s="1447">
        <f>VLOOKUP($C159,'3B.Demographic'!$C$15:$N$414,9,FALSE)</f>
        <v>0</v>
      </c>
      <c r="AE159" s="1447">
        <f>VLOOKUP($C159,'3B.Demographic'!$C$15:$N$414,10,FALSE)</f>
        <v>0</v>
      </c>
      <c r="AF159" s="1475">
        <f>VLOOKUP($C159,'3B.Demographic'!$C$15:$N$414,11,FALSE)</f>
        <v>0</v>
      </c>
      <c r="AG159" s="1229">
        <f>VLOOKUP($C159,'3B.Demographic'!$C$15:$N$414,12,FALSE)</f>
        <v>0</v>
      </c>
    </row>
    <row r="160" spans="1:33" ht="20.100000000000001" customHeight="1">
      <c r="A160" s="217" t="str">
        <f>IF(D160&lt;&gt;"", ' 1A.Prop&amp;Residents'!$B$7, "")</f>
        <v/>
      </c>
      <c r="B160" s="217" t="str">
        <f t="shared" si="8"/>
        <v/>
      </c>
      <c r="C160" s="34">
        <v>146</v>
      </c>
      <c r="D160" s="153"/>
      <c r="E160" s="154"/>
      <c r="F160" s="1775"/>
      <c r="G160" s="155"/>
      <c r="H160" s="156"/>
      <c r="I160" s="154"/>
      <c r="J160" s="157"/>
      <c r="K160" s="156"/>
      <c r="L160" s="154"/>
      <c r="M160" s="609" t="str">
        <f>IF(L160="","",IF(E160="","",IF('1B.TransitionalProg'!$H$8&gt;0,"",VLOOKUP($E160,' 1A.Prop&amp;Residents'!$P$41:$R$47,2,FALSE))))</f>
        <v/>
      </c>
      <c r="N160" s="609" t="str">
        <f>IF(L160="","",IF(E160="","",IF('1B.TransitionalProg'!$H$8&gt;0,"",VLOOKUP($E160,' 1A.Prop&amp;Residents'!$P$41:$R$47,3,FALSE))))</f>
        <v/>
      </c>
      <c r="O160" s="610" t="str">
        <f>IF(L160="", "", IF(E160="", "", IF('1B.TransitionalProg'!$H$8&gt;0,"",IF(L160&lt;M160,"overHOUSED?",IF(L160&gt;N160, "OVERcrowded?","")))))</f>
        <v/>
      </c>
      <c r="P160" s="623"/>
      <c r="Q160" s="154"/>
      <c r="R160" s="154"/>
      <c r="S160" s="156"/>
      <c r="T160" s="156"/>
      <c r="U160" s="156"/>
      <c r="V160" s="156"/>
      <c r="W160" s="1580" t="str">
        <f t="shared" si="6"/>
        <v/>
      </c>
      <c r="X160" s="155"/>
      <c r="Y160" s="156"/>
      <c r="Z160" s="233" t="str">
        <f t="shared" si="7"/>
        <v/>
      </c>
      <c r="AA160" s="1447">
        <f>VLOOKUP($C160,'3B.Demographic'!$C$15:$N$414,6,FALSE)</f>
        <v>0</v>
      </c>
      <c r="AB160" s="1447">
        <f>VLOOKUP($C160,'3B.Demographic'!$C$15:$N$414,7,FALSE)</f>
        <v>0</v>
      </c>
      <c r="AC160" s="1447">
        <f>VLOOKUP($C160,'3B.Demographic'!$C$15:$N$414,8,FALSE)</f>
        <v>0</v>
      </c>
      <c r="AD160" s="1447">
        <f>VLOOKUP($C160,'3B.Demographic'!$C$15:$N$414,9,FALSE)</f>
        <v>0</v>
      </c>
      <c r="AE160" s="1447">
        <f>VLOOKUP($C160,'3B.Demographic'!$C$15:$N$414,10,FALSE)</f>
        <v>0</v>
      </c>
      <c r="AF160" s="1475">
        <f>VLOOKUP($C160,'3B.Demographic'!$C$15:$N$414,11,FALSE)</f>
        <v>0</v>
      </c>
      <c r="AG160" s="1229">
        <f>VLOOKUP($C160,'3B.Demographic'!$C$15:$N$414,12,FALSE)</f>
        <v>0</v>
      </c>
    </row>
    <row r="161" spans="1:33" ht="20.100000000000001" customHeight="1">
      <c r="A161" s="217" t="str">
        <f>IF(D161&lt;&gt;"", ' 1A.Prop&amp;Residents'!$B$7, "")</f>
        <v/>
      </c>
      <c r="B161" s="217" t="str">
        <f t="shared" si="8"/>
        <v/>
      </c>
      <c r="C161" s="34">
        <v>147</v>
      </c>
      <c r="D161" s="153"/>
      <c r="E161" s="154"/>
      <c r="F161" s="1775"/>
      <c r="G161" s="155"/>
      <c r="H161" s="156"/>
      <c r="I161" s="154"/>
      <c r="J161" s="157"/>
      <c r="K161" s="156"/>
      <c r="L161" s="154"/>
      <c r="M161" s="609" t="str">
        <f>IF(L161="","",IF(E161="","",IF('1B.TransitionalProg'!$H$8&gt;0,"",VLOOKUP($E161,' 1A.Prop&amp;Residents'!$P$41:$R$47,2,FALSE))))</f>
        <v/>
      </c>
      <c r="N161" s="609" t="str">
        <f>IF(L161="","",IF(E161="","",IF('1B.TransitionalProg'!$H$8&gt;0,"",VLOOKUP($E161,' 1A.Prop&amp;Residents'!$P$41:$R$47,3,FALSE))))</f>
        <v/>
      </c>
      <c r="O161" s="610" t="str">
        <f>IF(L161="", "", IF(E161="", "", IF('1B.TransitionalProg'!$H$8&gt;0,"",IF(L161&lt;M161,"overHOUSED?",IF(L161&gt;N161, "OVERcrowded?","")))))</f>
        <v/>
      </c>
      <c r="P161" s="623"/>
      <c r="Q161" s="154"/>
      <c r="R161" s="154"/>
      <c r="S161" s="156"/>
      <c r="T161" s="156"/>
      <c r="U161" s="156"/>
      <c r="V161" s="156"/>
      <c r="W161" s="1580" t="str">
        <f t="shared" si="6"/>
        <v/>
      </c>
      <c r="X161" s="155"/>
      <c r="Y161" s="156"/>
      <c r="Z161" s="233" t="str">
        <f t="shared" si="7"/>
        <v/>
      </c>
      <c r="AA161" s="1447">
        <f>VLOOKUP($C161,'3B.Demographic'!$C$15:$N$414,6,FALSE)</f>
        <v>0</v>
      </c>
      <c r="AB161" s="1447">
        <f>VLOOKUP($C161,'3B.Demographic'!$C$15:$N$414,7,FALSE)</f>
        <v>0</v>
      </c>
      <c r="AC161" s="1447">
        <f>VLOOKUP($C161,'3B.Demographic'!$C$15:$N$414,8,FALSE)</f>
        <v>0</v>
      </c>
      <c r="AD161" s="1447">
        <f>VLOOKUP($C161,'3B.Demographic'!$C$15:$N$414,9,FALSE)</f>
        <v>0</v>
      </c>
      <c r="AE161" s="1447">
        <f>VLOOKUP($C161,'3B.Demographic'!$C$15:$N$414,10,FALSE)</f>
        <v>0</v>
      </c>
      <c r="AF161" s="1475">
        <f>VLOOKUP($C161,'3B.Demographic'!$C$15:$N$414,11,FALSE)</f>
        <v>0</v>
      </c>
      <c r="AG161" s="1229">
        <f>VLOOKUP($C161,'3B.Demographic'!$C$15:$N$414,12,FALSE)</f>
        <v>0</v>
      </c>
    </row>
    <row r="162" spans="1:33" ht="20.100000000000001" customHeight="1">
      <c r="A162" s="217" t="str">
        <f>IF(D162&lt;&gt;"", ' 1A.Prop&amp;Residents'!$B$7, "")</f>
        <v/>
      </c>
      <c r="B162" s="217" t="str">
        <f t="shared" si="8"/>
        <v/>
      </c>
      <c r="C162" s="34">
        <v>148</v>
      </c>
      <c r="D162" s="153"/>
      <c r="E162" s="154"/>
      <c r="F162" s="1775"/>
      <c r="G162" s="155"/>
      <c r="H162" s="156"/>
      <c r="I162" s="154"/>
      <c r="J162" s="157"/>
      <c r="K162" s="156"/>
      <c r="L162" s="154"/>
      <c r="M162" s="609" t="str">
        <f>IF(L162="","",IF(E162="","",IF('1B.TransitionalProg'!$H$8&gt;0,"",VLOOKUP($E162,' 1A.Prop&amp;Residents'!$P$41:$R$47,2,FALSE))))</f>
        <v/>
      </c>
      <c r="N162" s="609" t="str">
        <f>IF(L162="","",IF(E162="","",IF('1B.TransitionalProg'!$H$8&gt;0,"",VLOOKUP($E162,' 1A.Prop&amp;Residents'!$P$41:$R$47,3,FALSE))))</f>
        <v/>
      </c>
      <c r="O162" s="610" t="str">
        <f>IF(L162="", "", IF(E162="", "", IF('1B.TransitionalProg'!$H$8&gt;0,"",IF(L162&lt;M162,"overHOUSED?",IF(L162&gt;N162, "OVERcrowded?","")))))</f>
        <v/>
      </c>
      <c r="P162" s="623"/>
      <c r="Q162" s="154"/>
      <c r="R162" s="154"/>
      <c r="S162" s="156"/>
      <c r="T162" s="156"/>
      <c r="U162" s="156"/>
      <c r="V162" s="156"/>
      <c r="W162" s="1580" t="str">
        <f t="shared" si="6"/>
        <v/>
      </c>
      <c r="X162" s="155"/>
      <c r="Y162" s="156"/>
      <c r="Z162" s="233" t="str">
        <f t="shared" si="7"/>
        <v/>
      </c>
      <c r="AA162" s="1447">
        <f>VLOOKUP($C162,'3B.Demographic'!$C$15:$N$414,6,FALSE)</f>
        <v>0</v>
      </c>
      <c r="AB162" s="1447">
        <f>VLOOKUP($C162,'3B.Demographic'!$C$15:$N$414,7,FALSE)</f>
        <v>0</v>
      </c>
      <c r="AC162" s="1447">
        <f>VLOOKUP($C162,'3B.Demographic'!$C$15:$N$414,8,FALSE)</f>
        <v>0</v>
      </c>
      <c r="AD162" s="1447">
        <f>VLOOKUP($C162,'3B.Demographic'!$C$15:$N$414,9,FALSE)</f>
        <v>0</v>
      </c>
      <c r="AE162" s="1447">
        <f>VLOOKUP($C162,'3B.Demographic'!$C$15:$N$414,10,FALSE)</f>
        <v>0</v>
      </c>
      <c r="AF162" s="1475">
        <f>VLOOKUP($C162,'3B.Demographic'!$C$15:$N$414,11,FALSE)</f>
        <v>0</v>
      </c>
      <c r="AG162" s="1229">
        <f>VLOOKUP($C162,'3B.Demographic'!$C$15:$N$414,12,FALSE)</f>
        <v>0</v>
      </c>
    </row>
    <row r="163" spans="1:33" ht="20.100000000000001" customHeight="1">
      <c r="A163" s="217" t="str">
        <f>IF(D163&lt;&gt;"", ' 1A.Prop&amp;Residents'!$B$7, "")</f>
        <v/>
      </c>
      <c r="B163" s="217" t="str">
        <f t="shared" si="8"/>
        <v/>
      </c>
      <c r="C163" s="34">
        <v>149</v>
      </c>
      <c r="D163" s="153"/>
      <c r="E163" s="154"/>
      <c r="F163" s="1775"/>
      <c r="G163" s="155"/>
      <c r="H163" s="156"/>
      <c r="I163" s="154"/>
      <c r="J163" s="157"/>
      <c r="K163" s="156"/>
      <c r="L163" s="154"/>
      <c r="M163" s="609" t="str">
        <f>IF(L163="","",IF(E163="","",IF('1B.TransitionalProg'!$H$8&gt;0,"",VLOOKUP($E163,' 1A.Prop&amp;Residents'!$P$41:$R$47,2,FALSE))))</f>
        <v/>
      </c>
      <c r="N163" s="609" t="str">
        <f>IF(L163="","",IF(E163="","",IF('1B.TransitionalProg'!$H$8&gt;0,"",VLOOKUP($E163,' 1A.Prop&amp;Residents'!$P$41:$R$47,3,FALSE))))</f>
        <v/>
      </c>
      <c r="O163" s="610" t="str">
        <f>IF(L163="", "", IF(E163="", "", IF('1B.TransitionalProg'!$H$8&gt;0,"",IF(L163&lt;M163,"overHOUSED?",IF(L163&gt;N163, "OVERcrowded?","")))))</f>
        <v/>
      </c>
      <c r="P163" s="623"/>
      <c r="Q163" s="154"/>
      <c r="R163" s="154"/>
      <c r="S163" s="156"/>
      <c r="T163" s="156"/>
      <c r="U163" s="156"/>
      <c r="V163" s="156"/>
      <c r="W163" s="1580" t="str">
        <f t="shared" si="6"/>
        <v/>
      </c>
      <c r="X163" s="155"/>
      <c r="Y163" s="156"/>
      <c r="Z163" s="233" t="str">
        <f t="shared" si="7"/>
        <v/>
      </c>
      <c r="AA163" s="1447">
        <f>VLOOKUP($C163,'3B.Demographic'!$C$15:$N$414,6,FALSE)</f>
        <v>0</v>
      </c>
      <c r="AB163" s="1447">
        <f>VLOOKUP($C163,'3B.Demographic'!$C$15:$N$414,7,FALSE)</f>
        <v>0</v>
      </c>
      <c r="AC163" s="1447">
        <f>VLOOKUP($C163,'3B.Demographic'!$C$15:$N$414,8,FALSE)</f>
        <v>0</v>
      </c>
      <c r="AD163" s="1447">
        <f>VLOOKUP($C163,'3B.Demographic'!$C$15:$N$414,9,FALSE)</f>
        <v>0</v>
      </c>
      <c r="AE163" s="1447">
        <f>VLOOKUP($C163,'3B.Demographic'!$C$15:$N$414,10,FALSE)</f>
        <v>0</v>
      </c>
      <c r="AF163" s="1475">
        <f>VLOOKUP($C163,'3B.Demographic'!$C$15:$N$414,11,FALSE)</f>
        <v>0</v>
      </c>
      <c r="AG163" s="1229">
        <f>VLOOKUP($C163,'3B.Demographic'!$C$15:$N$414,12,FALSE)</f>
        <v>0</v>
      </c>
    </row>
    <row r="164" spans="1:33" ht="20.100000000000001" customHeight="1">
      <c r="A164" s="217" t="str">
        <f>IF(D164&lt;&gt;"", ' 1A.Prop&amp;Residents'!$B$7, "")</f>
        <v/>
      </c>
      <c r="B164" s="217" t="str">
        <f t="shared" si="8"/>
        <v/>
      </c>
      <c r="C164" s="34">
        <v>150</v>
      </c>
      <c r="D164" s="153"/>
      <c r="E164" s="154"/>
      <c r="F164" s="1775"/>
      <c r="G164" s="155"/>
      <c r="H164" s="156"/>
      <c r="I164" s="154"/>
      <c r="J164" s="157"/>
      <c r="K164" s="156"/>
      <c r="L164" s="154"/>
      <c r="M164" s="609" t="str">
        <f>IF(L164="","",IF(E164="","",IF('1B.TransitionalProg'!$H$8&gt;0,"",VLOOKUP($E164,' 1A.Prop&amp;Residents'!$P$41:$R$47,2,FALSE))))</f>
        <v/>
      </c>
      <c r="N164" s="609" t="str">
        <f>IF(L164="","",IF(E164="","",IF('1B.TransitionalProg'!$H$8&gt;0,"",VLOOKUP($E164,' 1A.Prop&amp;Residents'!$P$41:$R$47,3,FALSE))))</f>
        <v/>
      </c>
      <c r="O164" s="610" t="str">
        <f>IF(L164="", "", IF(E164="", "", IF('1B.TransitionalProg'!$H$8&gt;0,"",IF(L164&lt;M164,"overHOUSED?",IF(L164&gt;N164, "OVERcrowded?","")))))</f>
        <v/>
      </c>
      <c r="P164" s="623"/>
      <c r="Q164" s="154"/>
      <c r="R164" s="154"/>
      <c r="S164" s="156"/>
      <c r="T164" s="156"/>
      <c r="U164" s="156"/>
      <c r="V164" s="156"/>
      <c r="W164" s="1580" t="str">
        <f t="shared" si="6"/>
        <v/>
      </c>
      <c r="X164" s="155"/>
      <c r="Y164" s="156"/>
      <c r="Z164" s="233" t="str">
        <f t="shared" si="7"/>
        <v/>
      </c>
      <c r="AA164" s="1447">
        <f>VLOOKUP($C164,'3B.Demographic'!$C$15:$N$414,6,FALSE)</f>
        <v>0</v>
      </c>
      <c r="AB164" s="1447">
        <f>VLOOKUP($C164,'3B.Demographic'!$C$15:$N$414,7,FALSE)</f>
        <v>0</v>
      </c>
      <c r="AC164" s="1447">
        <f>VLOOKUP($C164,'3B.Demographic'!$C$15:$N$414,8,FALSE)</f>
        <v>0</v>
      </c>
      <c r="AD164" s="1447">
        <f>VLOOKUP($C164,'3B.Demographic'!$C$15:$N$414,9,FALSE)</f>
        <v>0</v>
      </c>
      <c r="AE164" s="1447">
        <f>VLOOKUP($C164,'3B.Demographic'!$C$15:$N$414,10,FALSE)</f>
        <v>0</v>
      </c>
      <c r="AF164" s="1475">
        <f>VLOOKUP($C164,'3B.Demographic'!$C$15:$N$414,11,FALSE)</f>
        <v>0</v>
      </c>
      <c r="AG164" s="1229">
        <f>VLOOKUP($C164,'3B.Demographic'!$C$15:$N$414,12,FALSE)</f>
        <v>0</v>
      </c>
    </row>
    <row r="165" spans="1:33" ht="20.100000000000001" customHeight="1">
      <c r="A165" s="217" t="str">
        <f>IF(D165&lt;&gt;"", ' 1A.Prop&amp;Residents'!$B$7, "")</f>
        <v/>
      </c>
      <c r="B165" s="217" t="str">
        <f t="shared" si="8"/>
        <v/>
      </c>
      <c r="C165" s="34">
        <v>151</v>
      </c>
      <c r="D165" s="153"/>
      <c r="E165" s="154"/>
      <c r="F165" s="1775"/>
      <c r="G165" s="155"/>
      <c r="H165" s="156"/>
      <c r="I165" s="154"/>
      <c r="J165" s="157"/>
      <c r="K165" s="156"/>
      <c r="L165" s="154"/>
      <c r="M165" s="609" t="str">
        <f>IF(L165="","",IF(E165="","",IF('1B.TransitionalProg'!$H$8&gt;0,"",VLOOKUP($E165,' 1A.Prop&amp;Residents'!$P$41:$R$47,2,FALSE))))</f>
        <v/>
      </c>
      <c r="N165" s="609" t="str">
        <f>IF(L165="","",IF(E165="","",IF('1B.TransitionalProg'!$H$8&gt;0,"",VLOOKUP($E165,' 1A.Prop&amp;Residents'!$P$41:$R$47,3,FALSE))))</f>
        <v/>
      </c>
      <c r="O165" s="610" t="str">
        <f>IF(L165="", "", IF(E165="", "", IF('1B.TransitionalProg'!$H$8&gt;0,"",IF(L165&lt;M165,"overHOUSED?",IF(L165&gt;N165, "OVERcrowded?","")))))</f>
        <v/>
      </c>
      <c r="P165" s="623"/>
      <c r="Q165" s="154"/>
      <c r="R165" s="154"/>
      <c r="S165" s="156"/>
      <c r="T165" s="156"/>
      <c r="U165" s="156"/>
      <c r="V165" s="156"/>
      <c r="W165" s="1580" t="str">
        <f t="shared" si="6"/>
        <v/>
      </c>
      <c r="X165" s="155"/>
      <c r="Y165" s="156"/>
      <c r="Z165" s="233" t="str">
        <f t="shared" si="7"/>
        <v/>
      </c>
      <c r="AA165" s="1447">
        <f>VLOOKUP($C165,'3B.Demographic'!$C$15:$N$414,6,FALSE)</f>
        <v>0</v>
      </c>
      <c r="AB165" s="1447">
        <f>VLOOKUP($C165,'3B.Demographic'!$C$15:$N$414,7,FALSE)</f>
        <v>0</v>
      </c>
      <c r="AC165" s="1447">
        <f>VLOOKUP($C165,'3B.Demographic'!$C$15:$N$414,8,FALSE)</f>
        <v>0</v>
      </c>
      <c r="AD165" s="1447">
        <f>VLOOKUP($C165,'3B.Demographic'!$C$15:$N$414,9,FALSE)</f>
        <v>0</v>
      </c>
      <c r="AE165" s="1447">
        <f>VLOOKUP($C165,'3B.Demographic'!$C$15:$N$414,10,FALSE)</f>
        <v>0</v>
      </c>
      <c r="AF165" s="1475">
        <f>VLOOKUP($C165,'3B.Demographic'!$C$15:$N$414,11,FALSE)</f>
        <v>0</v>
      </c>
      <c r="AG165" s="1229">
        <f>VLOOKUP($C165,'3B.Demographic'!$C$15:$N$414,12,FALSE)</f>
        <v>0</v>
      </c>
    </row>
    <row r="166" spans="1:33" ht="20.100000000000001" customHeight="1">
      <c r="A166" s="217" t="str">
        <f>IF(D166&lt;&gt;"", ' 1A.Prop&amp;Residents'!$B$7, "")</f>
        <v/>
      </c>
      <c r="B166" s="217" t="str">
        <f t="shared" si="8"/>
        <v/>
      </c>
      <c r="C166" s="34">
        <v>152</v>
      </c>
      <c r="D166" s="153"/>
      <c r="E166" s="154"/>
      <c r="F166" s="1775"/>
      <c r="G166" s="155"/>
      <c r="H166" s="156"/>
      <c r="I166" s="154"/>
      <c r="J166" s="157"/>
      <c r="K166" s="156"/>
      <c r="L166" s="154"/>
      <c r="M166" s="609" t="str">
        <f>IF(L166="","",IF(E166="","",IF('1B.TransitionalProg'!$H$8&gt;0,"",VLOOKUP($E166,' 1A.Prop&amp;Residents'!$P$41:$R$47,2,FALSE))))</f>
        <v/>
      </c>
      <c r="N166" s="609" t="str">
        <f>IF(L166="","",IF(E166="","",IF('1B.TransitionalProg'!$H$8&gt;0,"",VLOOKUP($E166,' 1A.Prop&amp;Residents'!$P$41:$R$47,3,FALSE))))</f>
        <v/>
      </c>
      <c r="O166" s="610" t="str">
        <f>IF(L166="", "", IF(E166="", "", IF('1B.TransitionalProg'!$H$8&gt;0,"",IF(L166&lt;M166,"overHOUSED?",IF(L166&gt;N166, "OVERcrowded?","")))))</f>
        <v/>
      </c>
      <c r="P166" s="623"/>
      <c r="Q166" s="154"/>
      <c r="R166" s="154"/>
      <c r="S166" s="156"/>
      <c r="T166" s="156"/>
      <c r="U166" s="156"/>
      <c r="V166" s="156"/>
      <c r="W166" s="1580" t="str">
        <f t="shared" si="6"/>
        <v/>
      </c>
      <c r="X166" s="155"/>
      <c r="Y166" s="156"/>
      <c r="Z166" s="233" t="str">
        <f t="shared" si="7"/>
        <v/>
      </c>
      <c r="AA166" s="1447">
        <f>VLOOKUP($C166,'3B.Demographic'!$C$15:$N$414,6,FALSE)</f>
        <v>0</v>
      </c>
      <c r="AB166" s="1447">
        <f>VLOOKUP($C166,'3B.Demographic'!$C$15:$N$414,7,FALSE)</f>
        <v>0</v>
      </c>
      <c r="AC166" s="1447">
        <f>VLOOKUP($C166,'3B.Demographic'!$C$15:$N$414,8,FALSE)</f>
        <v>0</v>
      </c>
      <c r="AD166" s="1447">
        <f>VLOOKUP($C166,'3B.Demographic'!$C$15:$N$414,9,FALSE)</f>
        <v>0</v>
      </c>
      <c r="AE166" s="1447">
        <f>VLOOKUP($C166,'3B.Demographic'!$C$15:$N$414,10,FALSE)</f>
        <v>0</v>
      </c>
      <c r="AF166" s="1475">
        <f>VLOOKUP($C166,'3B.Demographic'!$C$15:$N$414,11,FALSE)</f>
        <v>0</v>
      </c>
      <c r="AG166" s="1229">
        <f>VLOOKUP($C166,'3B.Demographic'!$C$15:$N$414,12,FALSE)</f>
        <v>0</v>
      </c>
    </row>
    <row r="167" spans="1:33" ht="20.100000000000001" customHeight="1">
      <c r="A167" s="217" t="str">
        <f>IF(D167&lt;&gt;"", ' 1A.Prop&amp;Residents'!$B$7, "")</f>
        <v/>
      </c>
      <c r="B167" s="217" t="str">
        <f t="shared" si="8"/>
        <v/>
      </c>
      <c r="C167" s="34">
        <v>153</v>
      </c>
      <c r="D167" s="153"/>
      <c r="E167" s="154"/>
      <c r="F167" s="1775"/>
      <c r="G167" s="155"/>
      <c r="H167" s="156"/>
      <c r="I167" s="154"/>
      <c r="J167" s="157"/>
      <c r="K167" s="156"/>
      <c r="L167" s="154"/>
      <c r="M167" s="609" t="str">
        <f>IF(L167="","",IF(E167="","",IF('1B.TransitionalProg'!$H$8&gt;0,"",VLOOKUP($E167,' 1A.Prop&amp;Residents'!$P$41:$R$47,2,FALSE))))</f>
        <v/>
      </c>
      <c r="N167" s="609" t="str">
        <f>IF(L167="","",IF(E167="","",IF('1B.TransitionalProg'!$H$8&gt;0,"",VLOOKUP($E167,' 1A.Prop&amp;Residents'!$P$41:$R$47,3,FALSE))))</f>
        <v/>
      </c>
      <c r="O167" s="610" t="str">
        <f>IF(L167="", "", IF(E167="", "", IF('1B.TransitionalProg'!$H$8&gt;0,"",IF(L167&lt;M167,"overHOUSED?",IF(L167&gt;N167, "OVERcrowded?","")))))</f>
        <v/>
      </c>
      <c r="P167" s="623"/>
      <c r="Q167" s="154"/>
      <c r="R167" s="154"/>
      <c r="S167" s="156"/>
      <c r="T167" s="156"/>
      <c r="U167" s="156"/>
      <c r="V167" s="156"/>
      <c r="W167" s="1580" t="str">
        <f t="shared" si="6"/>
        <v/>
      </c>
      <c r="X167" s="155"/>
      <c r="Y167" s="156"/>
      <c r="Z167" s="233" t="str">
        <f t="shared" si="7"/>
        <v/>
      </c>
      <c r="AA167" s="1447">
        <f>VLOOKUP($C167,'3B.Demographic'!$C$15:$N$414,6,FALSE)</f>
        <v>0</v>
      </c>
      <c r="AB167" s="1447">
        <f>VLOOKUP($C167,'3B.Demographic'!$C$15:$N$414,7,FALSE)</f>
        <v>0</v>
      </c>
      <c r="AC167" s="1447">
        <f>VLOOKUP($C167,'3B.Demographic'!$C$15:$N$414,8,FALSE)</f>
        <v>0</v>
      </c>
      <c r="AD167" s="1447">
        <f>VLOOKUP($C167,'3B.Demographic'!$C$15:$N$414,9,FALSE)</f>
        <v>0</v>
      </c>
      <c r="AE167" s="1447">
        <f>VLOOKUP($C167,'3B.Demographic'!$C$15:$N$414,10,FALSE)</f>
        <v>0</v>
      </c>
      <c r="AF167" s="1475">
        <f>VLOOKUP($C167,'3B.Demographic'!$C$15:$N$414,11,FALSE)</f>
        <v>0</v>
      </c>
      <c r="AG167" s="1229">
        <f>VLOOKUP($C167,'3B.Demographic'!$C$15:$N$414,12,FALSE)</f>
        <v>0</v>
      </c>
    </row>
    <row r="168" spans="1:33" ht="20.100000000000001" customHeight="1">
      <c r="A168" s="217" t="str">
        <f>IF(D168&lt;&gt;"", ' 1A.Prop&amp;Residents'!$B$7, "")</f>
        <v/>
      </c>
      <c r="B168" s="217" t="str">
        <f t="shared" si="8"/>
        <v/>
      </c>
      <c r="C168" s="34">
        <v>154</v>
      </c>
      <c r="D168" s="153"/>
      <c r="E168" s="154"/>
      <c r="F168" s="1775"/>
      <c r="G168" s="155"/>
      <c r="H168" s="156"/>
      <c r="I168" s="154"/>
      <c r="J168" s="157"/>
      <c r="K168" s="156"/>
      <c r="L168" s="154"/>
      <c r="M168" s="609" t="str">
        <f>IF(L168="","",IF(E168="","",IF('1B.TransitionalProg'!$H$8&gt;0,"",VLOOKUP($E168,' 1A.Prop&amp;Residents'!$P$41:$R$47,2,FALSE))))</f>
        <v/>
      </c>
      <c r="N168" s="609" t="str">
        <f>IF(L168="","",IF(E168="","",IF('1B.TransitionalProg'!$H$8&gt;0,"",VLOOKUP($E168,' 1A.Prop&amp;Residents'!$P$41:$R$47,3,FALSE))))</f>
        <v/>
      </c>
      <c r="O168" s="610" t="str">
        <f>IF(L168="", "", IF(E168="", "", IF('1B.TransitionalProg'!$H$8&gt;0,"",IF(L168&lt;M168,"overHOUSED?",IF(L168&gt;N168, "OVERcrowded?","")))))</f>
        <v/>
      </c>
      <c r="P168" s="623"/>
      <c r="Q168" s="154"/>
      <c r="R168" s="154"/>
      <c r="S168" s="156"/>
      <c r="T168" s="156"/>
      <c r="U168" s="156"/>
      <c r="V168" s="156"/>
      <c r="W168" s="1580" t="str">
        <f t="shared" si="6"/>
        <v/>
      </c>
      <c r="X168" s="155"/>
      <c r="Y168" s="156"/>
      <c r="Z168" s="233" t="str">
        <f t="shared" si="7"/>
        <v/>
      </c>
      <c r="AA168" s="1447">
        <f>VLOOKUP($C168,'3B.Demographic'!$C$15:$N$414,6,FALSE)</f>
        <v>0</v>
      </c>
      <c r="AB168" s="1447">
        <f>VLOOKUP($C168,'3B.Demographic'!$C$15:$N$414,7,FALSE)</f>
        <v>0</v>
      </c>
      <c r="AC168" s="1447">
        <f>VLOOKUP($C168,'3B.Demographic'!$C$15:$N$414,8,FALSE)</f>
        <v>0</v>
      </c>
      <c r="AD168" s="1447">
        <f>VLOOKUP($C168,'3B.Demographic'!$C$15:$N$414,9,FALSE)</f>
        <v>0</v>
      </c>
      <c r="AE168" s="1447">
        <f>VLOOKUP($C168,'3B.Demographic'!$C$15:$N$414,10,FALSE)</f>
        <v>0</v>
      </c>
      <c r="AF168" s="1475">
        <f>VLOOKUP($C168,'3B.Demographic'!$C$15:$N$414,11,FALSE)</f>
        <v>0</v>
      </c>
      <c r="AG168" s="1229">
        <f>VLOOKUP($C168,'3B.Demographic'!$C$15:$N$414,12,FALSE)</f>
        <v>0</v>
      </c>
    </row>
    <row r="169" spans="1:33" ht="20.100000000000001" customHeight="1">
      <c r="A169" s="217" t="str">
        <f>IF(D169&lt;&gt;"", ' 1A.Prop&amp;Residents'!$B$7, "")</f>
        <v/>
      </c>
      <c r="B169" s="217" t="str">
        <f t="shared" si="8"/>
        <v/>
      </c>
      <c r="C169" s="34">
        <v>155</v>
      </c>
      <c r="D169" s="153"/>
      <c r="E169" s="154"/>
      <c r="F169" s="1775"/>
      <c r="G169" s="155"/>
      <c r="H169" s="156"/>
      <c r="I169" s="154"/>
      <c r="J169" s="157"/>
      <c r="K169" s="156"/>
      <c r="L169" s="154"/>
      <c r="M169" s="609" t="str">
        <f>IF(L169="","",IF(E169="","",IF('1B.TransitionalProg'!$H$8&gt;0,"",VLOOKUP($E169,' 1A.Prop&amp;Residents'!$P$41:$R$47,2,FALSE))))</f>
        <v/>
      </c>
      <c r="N169" s="609" t="str">
        <f>IF(L169="","",IF(E169="","",IF('1B.TransitionalProg'!$H$8&gt;0,"",VLOOKUP($E169,' 1A.Prop&amp;Residents'!$P$41:$R$47,3,FALSE))))</f>
        <v/>
      </c>
      <c r="O169" s="610" t="str">
        <f>IF(L169="", "", IF(E169="", "", IF('1B.TransitionalProg'!$H$8&gt;0,"",IF(L169&lt;M169,"overHOUSED?",IF(L169&gt;N169, "OVERcrowded?","")))))</f>
        <v/>
      </c>
      <c r="P169" s="623"/>
      <c r="Q169" s="154"/>
      <c r="R169" s="154"/>
      <c r="S169" s="156"/>
      <c r="T169" s="156"/>
      <c r="U169" s="156"/>
      <c r="V169" s="156"/>
      <c r="W169" s="1580" t="str">
        <f t="shared" si="6"/>
        <v/>
      </c>
      <c r="X169" s="155"/>
      <c r="Y169" s="156"/>
      <c r="Z169" s="233" t="str">
        <f t="shared" si="7"/>
        <v/>
      </c>
      <c r="AA169" s="1447">
        <f>VLOOKUP($C169,'3B.Demographic'!$C$15:$N$414,6,FALSE)</f>
        <v>0</v>
      </c>
      <c r="AB169" s="1447">
        <f>VLOOKUP($C169,'3B.Demographic'!$C$15:$N$414,7,FALSE)</f>
        <v>0</v>
      </c>
      <c r="AC169" s="1447">
        <f>VLOOKUP($C169,'3B.Demographic'!$C$15:$N$414,8,FALSE)</f>
        <v>0</v>
      </c>
      <c r="AD169" s="1447">
        <f>VLOOKUP($C169,'3B.Demographic'!$C$15:$N$414,9,FALSE)</f>
        <v>0</v>
      </c>
      <c r="AE169" s="1447">
        <f>VLOOKUP($C169,'3B.Demographic'!$C$15:$N$414,10,FALSE)</f>
        <v>0</v>
      </c>
      <c r="AF169" s="1475">
        <f>VLOOKUP($C169,'3B.Demographic'!$C$15:$N$414,11,FALSE)</f>
        <v>0</v>
      </c>
      <c r="AG169" s="1229">
        <f>VLOOKUP($C169,'3B.Demographic'!$C$15:$N$414,12,FALSE)</f>
        <v>0</v>
      </c>
    </row>
    <row r="170" spans="1:33" ht="20.100000000000001" customHeight="1">
      <c r="A170" s="217" t="str">
        <f>IF(D170&lt;&gt;"", ' 1A.Prop&amp;Residents'!$B$7, "")</f>
        <v/>
      </c>
      <c r="B170" s="217" t="str">
        <f t="shared" si="8"/>
        <v/>
      </c>
      <c r="C170" s="34">
        <v>156</v>
      </c>
      <c r="D170" s="153"/>
      <c r="E170" s="154"/>
      <c r="F170" s="1775"/>
      <c r="G170" s="155"/>
      <c r="H170" s="156"/>
      <c r="I170" s="154"/>
      <c r="J170" s="157"/>
      <c r="K170" s="156"/>
      <c r="L170" s="154"/>
      <c r="M170" s="609" t="str">
        <f>IF(L170="","",IF(E170="","",IF('1B.TransitionalProg'!$H$8&gt;0,"",VLOOKUP($E170,' 1A.Prop&amp;Residents'!$P$41:$R$47,2,FALSE))))</f>
        <v/>
      </c>
      <c r="N170" s="609" t="str">
        <f>IF(L170="","",IF(E170="","",IF('1B.TransitionalProg'!$H$8&gt;0,"",VLOOKUP($E170,' 1A.Prop&amp;Residents'!$P$41:$R$47,3,FALSE))))</f>
        <v/>
      </c>
      <c r="O170" s="610" t="str">
        <f>IF(L170="", "", IF(E170="", "", IF('1B.TransitionalProg'!$H$8&gt;0,"",IF(L170&lt;M170,"overHOUSED?",IF(L170&gt;N170, "OVERcrowded?","")))))</f>
        <v/>
      </c>
      <c r="P170" s="623"/>
      <c r="Q170" s="154"/>
      <c r="R170" s="154"/>
      <c r="S170" s="156"/>
      <c r="T170" s="156"/>
      <c r="U170" s="156"/>
      <c r="V170" s="156"/>
      <c r="W170" s="1580" t="str">
        <f t="shared" si="6"/>
        <v/>
      </c>
      <c r="X170" s="155"/>
      <c r="Y170" s="156"/>
      <c r="Z170" s="233" t="str">
        <f t="shared" si="7"/>
        <v/>
      </c>
      <c r="AA170" s="1447">
        <f>VLOOKUP($C170,'3B.Demographic'!$C$15:$N$414,6,FALSE)</f>
        <v>0</v>
      </c>
      <c r="AB170" s="1447">
        <f>VLOOKUP($C170,'3B.Demographic'!$C$15:$N$414,7,FALSE)</f>
        <v>0</v>
      </c>
      <c r="AC170" s="1447">
        <f>VLOOKUP($C170,'3B.Demographic'!$C$15:$N$414,8,FALSE)</f>
        <v>0</v>
      </c>
      <c r="AD170" s="1447">
        <f>VLOOKUP($C170,'3B.Demographic'!$C$15:$N$414,9,FALSE)</f>
        <v>0</v>
      </c>
      <c r="AE170" s="1447">
        <f>VLOOKUP($C170,'3B.Demographic'!$C$15:$N$414,10,FALSE)</f>
        <v>0</v>
      </c>
      <c r="AF170" s="1475">
        <f>VLOOKUP($C170,'3B.Demographic'!$C$15:$N$414,11,FALSE)</f>
        <v>0</v>
      </c>
      <c r="AG170" s="1229">
        <f>VLOOKUP($C170,'3B.Demographic'!$C$15:$N$414,12,FALSE)</f>
        <v>0</v>
      </c>
    </row>
    <row r="171" spans="1:33" ht="20.100000000000001" customHeight="1">
      <c r="A171" s="217" t="str">
        <f>IF(D171&lt;&gt;"", ' 1A.Prop&amp;Residents'!$B$7, "")</f>
        <v/>
      </c>
      <c r="B171" s="217" t="str">
        <f t="shared" si="8"/>
        <v/>
      </c>
      <c r="C171" s="34">
        <v>157</v>
      </c>
      <c r="D171" s="153"/>
      <c r="E171" s="154"/>
      <c r="F171" s="1775"/>
      <c r="G171" s="155"/>
      <c r="H171" s="156"/>
      <c r="I171" s="154"/>
      <c r="J171" s="157"/>
      <c r="K171" s="156"/>
      <c r="L171" s="154"/>
      <c r="M171" s="609" t="str">
        <f>IF(L171="","",IF(E171="","",IF('1B.TransitionalProg'!$H$8&gt;0,"",VLOOKUP($E171,' 1A.Prop&amp;Residents'!$P$41:$R$47,2,FALSE))))</f>
        <v/>
      </c>
      <c r="N171" s="609" t="str">
        <f>IF(L171="","",IF(E171="","",IF('1B.TransitionalProg'!$H$8&gt;0,"",VLOOKUP($E171,' 1A.Prop&amp;Residents'!$P$41:$R$47,3,FALSE))))</f>
        <v/>
      </c>
      <c r="O171" s="610" t="str">
        <f>IF(L171="", "", IF(E171="", "", IF('1B.TransitionalProg'!$H$8&gt;0,"",IF(L171&lt;M171,"overHOUSED?",IF(L171&gt;N171, "OVERcrowded?","")))))</f>
        <v/>
      </c>
      <c r="P171" s="623"/>
      <c r="Q171" s="154"/>
      <c r="R171" s="154"/>
      <c r="S171" s="156"/>
      <c r="T171" s="156"/>
      <c r="U171" s="156"/>
      <c r="V171" s="156"/>
      <c r="W171" s="1580" t="str">
        <f t="shared" si="6"/>
        <v/>
      </c>
      <c r="X171" s="155"/>
      <c r="Y171" s="156"/>
      <c r="Z171" s="233" t="str">
        <f t="shared" si="7"/>
        <v/>
      </c>
      <c r="AA171" s="1447">
        <f>VLOOKUP($C171,'3B.Demographic'!$C$15:$N$414,6,FALSE)</f>
        <v>0</v>
      </c>
      <c r="AB171" s="1447">
        <f>VLOOKUP($C171,'3B.Demographic'!$C$15:$N$414,7,FALSE)</f>
        <v>0</v>
      </c>
      <c r="AC171" s="1447">
        <f>VLOOKUP($C171,'3B.Demographic'!$C$15:$N$414,8,FALSE)</f>
        <v>0</v>
      </c>
      <c r="AD171" s="1447">
        <f>VLOOKUP($C171,'3B.Demographic'!$C$15:$N$414,9,FALSE)</f>
        <v>0</v>
      </c>
      <c r="AE171" s="1447">
        <f>VLOOKUP($C171,'3B.Demographic'!$C$15:$N$414,10,FALSE)</f>
        <v>0</v>
      </c>
      <c r="AF171" s="1475">
        <f>VLOOKUP($C171,'3B.Demographic'!$C$15:$N$414,11,FALSE)</f>
        <v>0</v>
      </c>
      <c r="AG171" s="1229">
        <f>VLOOKUP($C171,'3B.Demographic'!$C$15:$N$414,12,FALSE)</f>
        <v>0</v>
      </c>
    </row>
    <row r="172" spans="1:33" ht="20.100000000000001" customHeight="1">
      <c r="A172" s="217" t="str">
        <f>IF(D172&lt;&gt;"", ' 1A.Prop&amp;Residents'!$B$7, "")</f>
        <v/>
      </c>
      <c r="B172" s="217" t="str">
        <f t="shared" si="8"/>
        <v/>
      </c>
      <c r="C172" s="34">
        <v>158</v>
      </c>
      <c r="D172" s="153"/>
      <c r="E172" s="154"/>
      <c r="F172" s="1775"/>
      <c r="G172" s="155"/>
      <c r="H172" s="156"/>
      <c r="I172" s="154"/>
      <c r="J172" s="157"/>
      <c r="K172" s="156"/>
      <c r="L172" s="154"/>
      <c r="M172" s="609" t="str">
        <f>IF(L172="","",IF(E172="","",IF('1B.TransitionalProg'!$H$8&gt;0,"",VLOOKUP($E172,' 1A.Prop&amp;Residents'!$P$41:$R$47,2,FALSE))))</f>
        <v/>
      </c>
      <c r="N172" s="609" t="str">
        <f>IF(L172="","",IF(E172="","",IF('1B.TransitionalProg'!$H$8&gt;0,"",VLOOKUP($E172,' 1A.Prop&amp;Residents'!$P$41:$R$47,3,FALSE))))</f>
        <v/>
      </c>
      <c r="O172" s="610" t="str">
        <f>IF(L172="", "", IF(E172="", "", IF('1B.TransitionalProg'!$H$8&gt;0,"",IF(L172&lt;M172,"overHOUSED?",IF(L172&gt;N172, "OVERcrowded?","")))))</f>
        <v/>
      </c>
      <c r="P172" s="623"/>
      <c r="Q172" s="154"/>
      <c r="R172" s="154"/>
      <c r="S172" s="156"/>
      <c r="T172" s="156"/>
      <c r="U172" s="156"/>
      <c r="V172" s="156"/>
      <c r="W172" s="1580" t="str">
        <f t="shared" si="6"/>
        <v/>
      </c>
      <c r="X172" s="155"/>
      <c r="Y172" s="156"/>
      <c r="Z172" s="233" t="str">
        <f t="shared" si="7"/>
        <v/>
      </c>
      <c r="AA172" s="1447">
        <f>VLOOKUP($C172,'3B.Demographic'!$C$15:$N$414,6,FALSE)</f>
        <v>0</v>
      </c>
      <c r="AB172" s="1447">
        <f>VLOOKUP($C172,'3B.Demographic'!$C$15:$N$414,7,FALSE)</f>
        <v>0</v>
      </c>
      <c r="AC172" s="1447">
        <f>VLOOKUP($C172,'3B.Demographic'!$C$15:$N$414,8,FALSE)</f>
        <v>0</v>
      </c>
      <c r="AD172" s="1447">
        <f>VLOOKUP($C172,'3B.Demographic'!$C$15:$N$414,9,FALSE)</f>
        <v>0</v>
      </c>
      <c r="AE172" s="1447">
        <f>VLOOKUP($C172,'3B.Demographic'!$C$15:$N$414,10,FALSE)</f>
        <v>0</v>
      </c>
      <c r="AF172" s="1475">
        <f>VLOOKUP($C172,'3B.Demographic'!$C$15:$N$414,11,FALSE)</f>
        <v>0</v>
      </c>
      <c r="AG172" s="1229">
        <f>VLOOKUP($C172,'3B.Demographic'!$C$15:$N$414,12,FALSE)</f>
        <v>0</v>
      </c>
    </row>
    <row r="173" spans="1:33" ht="20.100000000000001" customHeight="1">
      <c r="A173" s="217" t="str">
        <f>IF(D173&lt;&gt;"", ' 1A.Prop&amp;Residents'!$B$7, "")</f>
        <v/>
      </c>
      <c r="B173" s="217" t="str">
        <f t="shared" si="8"/>
        <v/>
      </c>
      <c r="C173" s="34">
        <v>159</v>
      </c>
      <c r="D173" s="153"/>
      <c r="E173" s="154"/>
      <c r="F173" s="1775"/>
      <c r="G173" s="155"/>
      <c r="H173" s="156"/>
      <c r="I173" s="154"/>
      <c r="J173" s="157"/>
      <c r="K173" s="156"/>
      <c r="L173" s="154"/>
      <c r="M173" s="609" t="str">
        <f>IF(L173="","",IF(E173="","",IF('1B.TransitionalProg'!$H$8&gt;0,"",VLOOKUP($E173,' 1A.Prop&amp;Residents'!$P$41:$R$47,2,FALSE))))</f>
        <v/>
      </c>
      <c r="N173" s="609" t="str">
        <f>IF(L173="","",IF(E173="","",IF('1B.TransitionalProg'!$H$8&gt;0,"",VLOOKUP($E173,' 1A.Prop&amp;Residents'!$P$41:$R$47,3,FALSE))))</f>
        <v/>
      </c>
      <c r="O173" s="610" t="str">
        <f>IF(L173="", "", IF(E173="", "", IF('1B.TransitionalProg'!$H$8&gt;0,"",IF(L173&lt;M173,"overHOUSED?",IF(L173&gt;N173, "OVERcrowded?","")))))</f>
        <v/>
      </c>
      <c r="P173" s="623"/>
      <c r="Q173" s="154"/>
      <c r="R173" s="154"/>
      <c r="S173" s="156"/>
      <c r="T173" s="156"/>
      <c r="U173" s="156"/>
      <c r="V173" s="156"/>
      <c r="W173" s="1580" t="str">
        <f t="shared" si="6"/>
        <v/>
      </c>
      <c r="X173" s="155"/>
      <c r="Y173" s="156"/>
      <c r="Z173" s="233" t="str">
        <f t="shared" si="7"/>
        <v/>
      </c>
      <c r="AA173" s="1447">
        <f>VLOOKUP($C173,'3B.Demographic'!$C$15:$N$414,6,FALSE)</f>
        <v>0</v>
      </c>
      <c r="AB173" s="1447">
        <f>VLOOKUP($C173,'3B.Demographic'!$C$15:$N$414,7,FALSE)</f>
        <v>0</v>
      </c>
      <c r="AC173" s="1447">
        <f>VLOOKUP($C173,'3B.Demographic'!$C$15:$N$414,8,FALSE)</f>
        <v>0</v>
      </c>
      <c r="AD173" s="1447">
        <f>VLOOKUP($C173,'3B.Demographic'!$C$15:$N$414,9,FALSE)</f>
        <v>0</v>
      </c>
      <c r="AE173" s="1447">
        <f>VLOOKUP($C173,'3B.Demographic'!$C$15:$N$414,10,FALSE)</f>
        <v>0</v>
      </c>
      <c r="AF173" s="1475">
        <f>VLOOKUP($C173,'3B.Demographic'!$C$15:$N$414,11,FALSE)</f>
        <v>0</v>
      </c>
      <c r="AG173" s="1229">
        <f>VLOOKUP($C173,'3B.Demographic'!$C$15:$N$414,12,FALSE)</f>
        <v>0</v>
      </c>
    </row>
    <row r="174" spans="1:33" ht="20.100000000000001" customHeight="1">
      <c r="A174" s="217" t="str">
        <f>IF(D174&lt;&gt;"", ' 1A.Prop&amp;Residents'!$B$7, "")</f>
        <v/>
      </c>
      <c r="B174" s="217" t="str">
        <f t="shared" si="8"/>
        <v/>
      </c>
      <c r="C174" s="34">
        <v>160</v>
      </c>
      <c r="D174" s="153"/>
      <c r="E174" s="154"/>
      <c r="F174" s="1775"/>
      <c r="G174" s="155"/>
      <c r="H174" s="156"/>
      <c r="I174" s="154"/>
      <c r="J174" s="157"/>
      <c r="K174" s="156"/>
      <c r="L174" s="154"/>
      <c r="M174" s="609" t="str">
        <f>IF(L174="","",IF(E174="","",IF('1B.TransitionalProg'!$H$8&gt;0,"",VLOOKUP($E174,' 1A.Prop&amp;Residents'!$P$41:$R$47,2,FALSE))))</f>
        <v/>
      </c>
      <c r="N174" s="609" t="str">
        <f>IF(L174="","",IF(E174="","",IF('1B.TransitionalProg'!$H$8&gt;0,"",VLOOKUP($E174,' 1A.Prop&amp;Residents'!$P$41:$R$47,3,FALSE))))</f>
        <v/>
      </c>
      <c r="O174" s="610" t="str">
        <f>IF(L174="", "", IF(E174="", "", IF('1B.TransitionalProg'!$H$8&gt;0,"",IF(L174&lt;M174,"overHOUSED?",IF(L174&gt;N174, "OVERcrowded?","")))))</f>
        <v/>
      </c>
      <c r="P174" s="623"/>
      <c r="Q174" s="154"/>
      <c r="R174" s="154"/>
      <c r="S174" s="156"/>
      <c r="T174" s="156"/>
      <c r="U174" s="156"/>
      <c r="V174" s="156"/>
      <c r="W174" s="1580" t="str">
        <f t="shared" si="6"/>
        <v/>
      </c>
      <c r="X174" s="155"/>
      <c r="Y174" s="156"/>
      <c r="Z174" s="233" t="str">
        <f t="shared" si="7"/>
        <v/>
      </c>
      <c r="AA174" s="1447">
        <f>VLOOKUP($C174,'3B.Demographic'!$C$15:$N$414,6,FALSE)</f>
        <v>0</v>
      </c>
      <c r="AB174" s="1447">
        <f>VLOOKUP($C174,'3B.Demographic'!$C$15:$N$414,7,FALSE)</f>
        <v>0</v>
      </c>
      <c r="AC174" s="1447">
        <f>VLOOKUP($C174,'3B.Demographic'!$C$15:$N$414,8,FALSE)</f>
        <v>0</v>
      </c>
      <c r="AD174" s="1447">
        <f>VLOOKUP($C174,'3B.Demographic'!$C$15:$N$414,9,FALSE)</f>
        <v>0</v>
      </c>
      <c r="AE174" s="1447">
        <f>VLOOKUP($C174,'3B.Demographic'!$C$15:$N$414,10,FALSE)</f>
        <v>0</v>
      </c>
      <c r="AF174" s="1475">
        <f>VLOOKUP($C174,'3B.Demographic'!$C$15:$N$414,11,FALSE)</f>
        <v>0</v>
      </c>
      <c r="AG174" s="1229">
        <f>VLOOKUP($C174,'3B.Demographic'!$C$15:$N$414,12,FALSE)</f>
        <v>0</v>
      </c>
    </row>
    <row r="175" spans="1:33" ht="20.100000000000001" customHeight="1">
      <c r="A175" s="217" t="str">
        <f>IF(D175&lt;&gt;"", ' 1A.Prop&amp;Residents'!$B$7, "")</f>
        <v/>
      </c>
      <c r="B175" s="217" t="str">
        <f t="shared" si="8"/>
        <v/>
      </c>
      <c r="C175" s="34">
        <v>161</v>
      </c>
      <c r="D175" s="153"/>
      <c r="E175" s="154"/>
      <c r="F175" s="1775"/>
      <c r="G175" s="155"/>
      <c r="H175" s="156"/>
      <c r="I175" s="154"/>
      <c r="J175" s="157"/>
      <c r="K175" s="156"/>
      <c r="L175" s="154"/>
      <c r="M175" s="609" t="str">
        <f>IF(L175="","",IF(E175="","",IF('1B.TransitionalProg'!$H$8&gt;0,"",VLOOKUP($E175,' 1A.Prop&amp;Residents'!$P$41:$R$47,2,FALSE))))</f>
        <v/>
      </c>
      <c r="N175" s="609" t="str">
        <f>IF(L175="","",IF(E175="","",IF('1B.TransitionalProg'!$H$8&gt;0,"",VLOOKUP($E175,' 1A.Prop&amp;Residents'!$P$41:$R$47,3,FALSE))))</f>
        <v/>
      </c>
      <c r="O175" s="610" t="str">
        <f>IF(L175="", "", IF(E175="", "", IF('1B.TransitionalProg'!$H$8&gt;0,"",IF(L175&lt;M175,"overHOUSED?",IF(L175&gt;N175, "OVERcrowded?","")))))</f>
        <v/>
      </c>
      <c r="P175" s="623"/>
      <c r="Q175" s="154"/>
      <c r="R175" s="154"/>
      <c r="S175" s="156"/>
      <c r="T175" s="156"/>
      <c r="U175" s="156"/>
      <c r="V175" s="156"/>
      <c r="W175" s="1580" t="str">
        <f t="shared" si="6"/>
        <v/>
      </c>
      <c r="X175" s="155"/>
      <c r="Y175" s="156"/>
      <c r="Z175" s="233" t="str">
        <f t="shared" si="7"/>
        <v/>
      </c>
      <c r="AA175" s="1447">
        <f>VLOOKUP($C175,'3B.Demographic'!$C$15:$N$414,6,FALSE)</f>
        <v>0</v>
      </c>
      <c r="AB175" s="1447">
        <f>VLOOKUP($C175,'3B.Demographic'!$C$15:$N$414,7,FALSE)</f>
        <v>0</v>
      </c>
      <c r="AC175" s="1447">
        <f>VLOOKUP($C175,'3B.Demographic'!$C$15:$N$414,8,FALSE)</f>
        <v>0</v>
      </c>
      <c r="AD175" s="1447">
        <f>VLOOKUP($C175,'3B.Demographic'!$C$15:$N$414,9,FALSE)</f>
        <v>0</v>
      </c>
      <c r="AE175" s="1447">
        <f>VLOOKUP($C175,'3B.Demographic'!$C$15:$N$414,10,FALSE)</f>
        <v>0</v>
      </c>
      <c r="AF175" s="1475">
        <f>VLOOKUP($C175,'3B.Demographic'!$C$15:$N$414,11,FALSE)</f>
        <v>0</v>
      </c>
      <c r="AG175" s="1229">
        <f>VLOOKUP($C175,'3B.Demographic'!$C$15:$N$414,12,FALSE)</f>
        <v>0</v>
      </c>
    </row>
    <row r="176" spans="1:33" ht="20.100000000000001" customHeight="1">
      <c r="A176" s="217" t="str">
        <f>IF(D176&lt;&gt;"", ' 1A.Prop&amp;Residents'!$B$7, "")</f>
        <v/>
      </c>
      <c r="B176" s="217" t="str">
        <f t="shared" si="8"/>
        <v/>
      </c>
      <c r="C176" s="34">
        <v>162</v>
      </c>
      <c r="D176" s="153"/>
      <c r="E176" s="154"/>
      <c r="F176" s="1775"/>
      <c r="G176" s="155"/>
      <c r="H176" s="156"/>
      <c r="I176" s="154"/>
      <c r="J176" s="157"/>
      <c r="K176" s="156"/>
      <c r="L176" s="154"/>
      <c r="M176" s="609" t="str">
        <f>IF(L176="","",IF(E176="","",IF('1B.TransitionalProg'!$H$8&gt;0,"",VLOOKUP($E176,' 1A.Prop&amp;Residents'!$P$41:$R$47,2,FALSE))))</f>
        <v/>
      </c>
      <c r="N176" s="609" t="str">
        <f>IF(L176="","",IF(E176="","",IF('1B.TransitionalProg'!$H$8&gt;0,"",VLOOKUP($E176,' 1A.Prop&amp;Residents'!$P$41:$R$47,3,FALSE))))</f>
        <v/>
      </c>
      <c r="O176" s="610" t="str">
        <f>IF(L176="", "", IF(E176="", "", IF('1B.TransitionalProg'!$H$8&gt;0,"",IF(L176&lt;M176,"overHOUSED?",IF(L176&gt;N176, "OVERcrowded?","")))))</f>
        <v/>
      </c>
      <c r="P176" s="623"/>
      <c r="Q176" s="154"/>
      <c r="R176" s="154"/>
      <c r="S176" s="156"/>
      <c r="T176" s="156"/>
      <c r="U176" s="156"/>
      <c r="V176" s="156"/>
      <c r="W176" s="1580" t="str">
        <f t="shared" si="6"/>
        <v/>
      </c>
      <c r="X176" s="155"/>
      <c r="Y176" s="156"/>
      <c r="Z176" s="233" t="str">
        <f t="shared" si="7"/>
        <v/>
      </c>
      <c r="AA176" s="1447">
        <f>VLOOKUP($C176,'3B.Demographic'!$C$15:$N$414,6,FALSE)</f>
        <v>0</v>
      </c>
      <c r="AB176" s="1447">
        <f>VLOOKUP($C176,'3B.Demographic'!$C$15:$N$414,7,FALSE)</f>
        <v>0</v>
      </c>
      <c r="AC176" s="1447">
        <f>VLOOKUP($C176,'3B.Demographic'!$C$15:$N$414,8,FALSE)</f>
        <v>0</v>
      </c>
      <c r="AD176" s="1447">
        <f>VLOOKUP($C176,'3B.Demographic'!$C$15:$N$414,9,FALSE)</f>
        <v>0</v>
      </c>
      <c r="AE176" s="1447">
        <f>VLOOKUP($C176,'3B.Demographic'!$C$15:$N$414,10,FALSE)</f>
        <v>0</v>
      </c>
      <c r="AF176" s="1475">
        <f>VLOOKUP($C176,'3B.Demographic'!$C$15:$N$414,11,FALSE)</f>
        <v>0</v>
      </c>
      <c r="AG176" s="1229">
        <f>VLOOKUP($C176,'3B.Demographic'!$C$15:$N$414,12,FALSE)</f>
        <v>0</v>
      </c>
    </row>
    <row r="177" spans="1:33" ht="20.100000000000001" customHeight="1">
      <c r="A177" s="217" t="str">
        <f>IF(D177&lt;&gt;"", ' 1A.Prop&amp;Residents'!$B$7, "")</f>
        <v/>
      </c>
      <c r="B177" s="217" t="str">
        <f t="shared" si="8"/>
        <v/>
      </c>
      <c r="C177" s="34">
        <v>163</v>
      </c>
      <c r="D177" s="153"/>
      <c r="E177" s="154"/>
      <c r="F177" s="1775"/>
      <c r="G177" s="155"/>
      <c r="H177" s="156"/>
      <c r="I177" s="154"/>
      <c r="J177" s="157"/>
      <c r="K177" s="156"/>
      <c r="L177" s="154"/>
      <c r="M177" s="609" t="str">
        <f>IF(L177="","",IF(E177="","",IF('1B.TransitionalProg'!$H$8&gt;0,"",VLOOKUP($E177,' 1A.Prop&amp;Residents'!$P$41:$R$47,2,FALSE))))</f>
        <v/>
      </c>
      <c r="N177" s="609" t="str">
        <f>IF(L177="","",IF(E177="","",IF('1B.TransitionalProg'!$H$8&gt;0,"",VLOOKUP($E177,' 1A.Prop&amp;Residents'!$P$41:$R$47,3,FALSE))))</f>
        <v/>
      </c>
      <c r="O177" s="610" t="str">
        <f>IF(L177="", "", IF(E177="", "", IF('1B.TransitionalProg'!$H$8&gt;0,"",IF(L177&lt;M177,"overHOUSED?",IF(L177&gt;N177, "OVERcrowded?","")))))</f>
        <v/>
      </c>
      <c r="P177" s="623"/>
      <c r="Q177" s="154"/>
      <c r="R177" s="154"/>
      <c r="S177" s="156"/>
      <c r="T177" s="156"/>
      <c r="U177" s="156"/>
      <c r="V177" s="156"/>
      <c r="W177" s="1580" t="str">
        <f t="shared" si="6"/>
        <v/>
      </c>
      <c r="X177" s="155"/>
      <c r="Y177" s="156"/>
      <c r="Z177" s="233" t="str">
        <f t="shared" si="7"/>
        <v/>
      </c>
      <c r="AA177" s="1447">
        <f>VLOOKUP($C177,'3B.Demographic'!$C$15:$N$414,6,FALSE)</f>
        <v>0</v>
      </c>
      <c r="AB177" s="1447">
        <f>VLOOKUP($C177,'3B.Demographic'!$C$15:$N$414,7,FALSE)</f>
        <v>0</v>
      </c>
      <c r="AC177" s="1447">
        <f>VLOOKUP($C177,'3B.Demographic'!$C$15:$N$414,8,FALSE)</f>
        <v>0</v>
      </c>
      <c r="AD177" s="1447">
        <f>VLOOKUP($C177,'3B.Demographic'!$C$15:$N$414,9,FALSE)</f>
        <v>0</v>
      </c>
      <c r="AE177" s="1447">
        <f>VLOOKUP($C177,'3B.Demographic'!$C$15:$N$414,10,FALSE)</f>
        <v>0</v>
      </c>
      <c r="AF177" s="1475">
        <f>VLOOKUP($C177,'3B.Demographic'!$C$15:$N$414,11,FALSE)</f>
        <v>0</v>
      </c>
      <c r="AG177" s="1229">
        <f>VLOOKUP($C177,'3B.Demographic'!$C$15:$N$414,12,FALSE)</f>
        <v>0</v>
      </c>
    </row>
    <row r="178" spans="1:33" ht="20.100000000000001" customHeight="1">
      <c r="A178" s="217" t="str">
        <f>IF(D178&lt;&gt;"", ' 1A.Prop&amp;Residents'!$B$7, "")</f>
        <v/>
      </c>
      <c r="B178" s="217" t="str">
        <f t="shared" si="8"/>
        <v/>
      </c>
      <c r="C178" s="34">
        <v>164</v>
      </c>
      <c r="D178" s="153"/>
      <c r="E178" s="154"/>
      <c r="F178" s="1775"/>
      <c r="G178" s="155"/>
      <c r="H178" s="156"/>
      <c r="I178" s="154"/>
      <c r="J178" s="157"/>
      <c r="K178" s="156"/>
      <c r="L178" s="154"/>
      <c r="M178" s="609" t="str">
        <f>IF(L178="","",IF(E178="","",IF('1B.TransitionalProg'!$H$8&gt;0,"",VLOOKUP($E178,' 1A.Prop&amp;Residents'!$P$41:$R$47,2,FALSE))))</f>
        <v/>
      </c>
      <c r="N178" s="609" t="str">
        <f>IF(L178="","",IF(E178="","",IF('1B.TransitionalProg'!$H$8&gt;0,"",VLOOKUP($E178,' 1A.Prop&amp;Residents'!$P$41:$R$47,3,FALSE))))</f>
        <v/>
      </c>
      <c r="O178" s="610" t="str">
        <f>IF(L178="", "", IF(E178="", "", IF('1B.TransitionalProg'!$H$8&gt;0,"",IF(L178&lt;M178,"overHOUSED?",IF(L178&gt;N178, "OVERcrowded?","")))))</f>
        <v/>
      </c>
      <c r="P178" s="623"/>
      <c r="Q178" s="154"/>
      <c r="R178" s="154"/>
      <c r="S178" s="156"/>
      <c r="T178" s="156"/>
      <c r="U178" s="156"/>
      <c r="V178" s="156"/>
      <c r="W178" s="1580" t="str">
        <f t="shared" si="6"/>
        <v/>
      </c>
      <c r="X178" s="155"/>
      <c r="Y178" s="156"/>
      <c r="Z178" s="233" t="str">
        <f t="shared" si="7"/>
        <v/>
      </c>
      <c r="AA178" s="1447">
        <f>VLOOKUP($C178,'3B.Demographic'!$C$15:$N$414,6,FALSE)</f>
        <v>0</v>
      </c>
      <c r="AB178" s="1447">
        <f>VLOOKUP($C178,'3B.Demographic'!$C$15:$N$414,7,FALSE)</f>
        <v>0</v>
      </c>
      <c r="AC178" s="1447">
        <f>VLOOKUP($C178,'3B.Demographic'!$C$15:$N$414,8,FALSE)</f>
        <v>0</v>
      </c>
      <c r="AD178" s="1447">
        <f>VLOOKUP($C178,'3B.Demographic'!$C$15:$N$414,9,FALSE)</f>
        <v>0</v>
      </c>
      <c r="AE178" s="1447">
        <f>VLOOKUP($C178,'3B.Demographic'!$C$15:$N$414,10,FALSE)</f>
        <v>0</v>
      </c>
      <c r="AF178" s="1475">
        <f>VLOOKUP($C178,'3B.Demographic'!$C$15:$N$414,11,FALSE)</f>
        <v>0</v>
      </c>
      <c r="AG178" s="1229">
        <f>VLOOKUP($C178,'3B.Demographic'!$C$15:$N$414,12,FALSE)</f>
        <v>0</v>
      </c>
    </row>
    <row r="179" spans="1:33" ht="20.100000000000001" customHeight="1">
      <c r="A179" s="217" t="str">
        <f>IF(D179&lt;&gt;"", ' 1A.Prop&amp;Residents'!$B$7, "")</f>
        <v/>
      </c>
      <c r="B179" s="217" t="str">
        <f t="shared" si="8"/>
        <v/>
      </c>
      <c r="C179" s="34">
        <v>165</v>
      </c>
      <c r="D179" s="153"/>
      <c r="E179" s="154"/>
      <c r="F179" s="1775"/>
      <c r="G179" s="155"/>
      <c r="H179" s="156"/>
      <c r="I179" s="154"/>
      <c r="J179" s="157"/>
      <c r="K179" s="156"/>
      <c r="L179" s="154"/>
      <c r="M179" s="609" t="str">
        <f>IF(L179="","",IF(E179="","",IF('1B.TransitionalProg'!$H$8&gt;0,"",VLOOKUP($E179,' 1A.Prop&amp;Residents'!$P$41:$R$47,2,FALSE))))</f>
        <v/>
      </c>
      <c r="N179" s="609" t="str">
        <f>IF(L179="","",IF(E179="","",IF('1B.TransitionalProg'!$H$8&gt;0,"",VLOOKUP($E179,' 1A.Prop&amp;Residents'!$P$41:$R$47,3,FALSE))))</f>
        <v/>
      </c>
      <c r="O179" s="610" t="str">
        <f>IF(L179="", "", IF(E179="", "", IF('1B.TransitionalProg'!$H$8&gt;0,"",IF(L179&lt;M179,"overHOUSED?",IF(L179&gt;N179, "OVERcrowded?","")))))</f>
        <v/>
      </c>
      <c r="P179" s="623"/>
      <c r="Q179" s="154"/>
      <c r="R179" s="154"/>
      <c r="S179" s="156"/>
      <c r="T179" s="156"/>
      <c r="U179" s="156"/>
      <c r="V179" s="156"/>
      <c r="W179" s="1580" t="str">
        <f t="shared" si="6"/>
        <v/>
      </c>
      <c r="X179" s="155"/>
      <c r="Y179" s="156"/>
      <c r="Z179" s="233" t="str">
        <f t="shared" si="7"/>
        <v/>
      </c>
      <c r="AA179" s="1447">
        <f>VLOOKUP($C179,'3B.Demographic'!$C$15:$N$414,6,FALSE)</f>
        <v>0</v>
      </c>
      <c r="AB179" s="1447">
        <f>VLOOKUP($C179,'3B.Demographic'!$C$15:$N$414,7,FALSE)</f>
        <v>0</v>
      </c>
      <c r="AC179" s="1447">
        <f>VLOOKUP($C179,'3B.Demographic'!$C$15:$N$414,8,FALSE)</f>
        <v>0</v>
      </c>
      <c r="AD179" s="1447">
        <f>VLOOKUP($C179,'3B.Demographic'!$C$15:$N$414,9,FALSE)</f>
        <v>0</v>
      </c>
      <c r="AE179" s="1447">
        <f>VLOOKUP($C179,'3B.Demographic'!$C$15:$N$414,10,FALSE)</f>
        <v>0</v>
      </c>
      <c r="AF179" s="1475">
        <f>VLOOKUP($C179,'3B.Demographic'!$C$15:$N$414,11,FALSE)</f>
        <v>0</v>
      </c>
      <c r="AG179" s="1229">
        <f>VLOOKUP($C179,'3B.Demographic'!$C$15:$N$414,12,FALSE)</f>
        <v>0</v>
      </c>
    </row>
    <row r="180" spans="1:33" ht="20.100000000000001" customHeight="1">
      <c r="A180" s="217" t="str">
        <f>IF(D180&lt;&gt;"", ' 1A.Prop&amp;Residents'!$B$7, "")</f>
        <v/>
      </c>
      <c r="B180" s="217" t="str">
        <f t="shared" si="8"/>
        <v/>
      </c>
      <c r="C180" s="34">
        <v>166</v>
      </c>
      <c r="D180" s="153"/>
      <c r="E180" s="154"/>
      <c r="F180" s="1775"/>
      <c r="G180" s="155"/>
      <c r="H180" s="156"/>
      <c r="I180" s="154"/>
      <c r="J180" s="157"/>
      <c r="K180" s="156"/>
      <c r="L180" s="154"/>
      <c r="M180" s="609" t="str">
        <f>IF(L180="","",IF(E180="","",IF('1B.TransitionalProg'!$H$8&gt;0,"",VLOOKUP($E180,' 1A.Prop&amp;Residents'!$P$41:$R$47,2,FALSE))))</f>
        <v/>
      </c>
      <c r="N180" s="609" t="str">
        <f>IF(L180="","",IF(E180="","",IF('1B.TransitionalProg'!$H$8&gt;0,"",VLOOKUP($E180,' 1A.Prop&amp;Residents'!$P$41:$R$47,3,FALSE))))</f>
        <v/>
      </c>
      <c r="O180" s="610" t="str">
        <f>IF(L180="", "", IF(E180="", "", IF('1B.TransitionalProg'!$H$8&gt;0,"",IF(L180&lt;M180,"overHOUSED?",IF(L180&gt;N180, "OVERcrowded?","")))))</f>
        <v/>
      </c>
      <c r="P180" s="623"/>
      <c r="Q180" s="154"/>
      <c r="R180" s="154"/>
      <c r="S180" s="156"/>
      <c r="T180" s="156"/>
      <c r="U180" s="156"/>
      <c r="V180" s="156"/>
      <c r="W180" s="1580" t="str">
        <f t="shared" si="6"/>
        <v/>
      </c>
      <c r="X180" s="155"/>
      <c r="Y180" s="156"/>
      <c r="Z180" s="233" t="str">
        <f t="shared" si="7"/>
        <v/>
      </c>
      <c r="AA180" s="1447">
        <f>VLOOKUP($C180,'3B.Demographic'!$C$15:$N$414,6,FALSE)</f>
        <v>0</v>
      </c>
      <c r="AB180" s="1447">
        <f>VLOOKUP($C180,'3B.Demographic'!$C$15:$N$414,7,FALSE)</f>
        <v>0</v>
      </c>
      <c r="AC180" s="1447">
        <f>VLOOKUP($C180,'3B.Demographic'!$C$15:$N$414,8,FALSE)</f>
        <v>0</v>
      </c>
      <c r="AD180" s="1447">
        <f>VLOOKUP($C180,'3B.Demographic'!$C$15:$N$414,9,FALSE)</f>
        <v>0</v>
      </c>
      <c r="AE180" s="1447">
        <f>VLOOKUP($C180,'3B.Demographic'!$C$15:$N$414,10,FALSE)</f>
        <v>0</v>
      </c>
      <c r="AF180" s="1475">
        <f>VLOOKUP($C180,'3B.Demographic'!$C$15:$N$414,11,FALSE)</f>
        <v>0</v>
      </c>
      <c r="AG180" s="1229">
        <f>VLOOKUP($C180,'3B.Demographic'!$C$15:$N$414,12,FALSE)</f>
        <v>0</v>
      </c>
    </row>
    <row r="181" spans="1:33" ht="20.100000000000001" customHeight="1">
      <c r="A181" s="217" t="str">
        <f>IF(D181&lt;&gt;"", ' 1A.Prop&amp;Residents'!$B$7, "")</f>
        <v/>
      </c>
      <c r="B181" s="217" t="str">
        <f t="shared" si="8"/>
        <v/>
      </c>
      <c r="C181" s="34">
        <v>167</v>
      </c>
      <c r="D181" s="153"/>
      <c r="E181" s="154"/>
      <c r="F181" s="1775"/>
      <c r="G181" s="155"/>
      <c r="H181" s="156"/>
      <c r="I181" s="154"/>
      <c r="J181" s="157"/>
      <c r="K181" s="156"/>
      <c r="L181" s="154"/>
      <c r="M181" s="609" t="str">
        <f>IF(L181="","",IF(E181="","",IF('1B.TransitionalProg'!$H$8&gt;0,"",VLOOKUP($E181,' 1A.Prop&amp;Residents'!$P$41:$R$47,2,FALSE))))</f>
        <v/>
      </c>
      <c r="N181" s="609" t="str">
        <f>IF(L181="","",IF(E181="","",IF('1B.TransitionalProg'!$H$8&gt;0,"",VLOOKUP($E181,' 1A.Prop&amp;Residents'!$P$41:$R$47,3,FALSE))))</f>
        <v/>
      </c>
      <c r="O181" s="610" t="str">
        <f>IF(L181="", "", IF(E181="", "", IF('1B.TransitionalProg'!$H$8&gt;0,"",IF(L181&lt;M181,"overHOUSED?",IF(L181&gt;N181, "OVERcrowded?","")))))</f>
        <v/>
      </c>
      <c r="P181" s="623"/>
      <c r="Q181" s="154"/>
      <c r="R181" s="154"/>
      <c r="S181" s="156"/>
      <c r="T181" s="156"/>
      <c r="U181" s="156"/>
      <c r="V181" s="156"/>
      <c r="W181" s="1580" t="str">
        <f t="shared" si="6"/>
        <v/>
      </c>
      <c r="X181" s="155"/>
      <c r="Y181" s="156"/>
      <c r="Z181" s="233" t="str">
        <f t="shared" si="7"/>
        <v/>
      </c>
      <c r="AA181" s="1447">
        <f>VLOOKUP($C181,'3B.Demographic'!$C$15:$N$414,6,FALSE)</f>
        <v>0</v>
      </c>
      <c r="AB181" s="1447">
        <f>VLOOKUP($C181,'3B.Demographic'!$C$15:$N$414,7,FALSE)</f>
        <v>0</v>
      </c>
      <c r="AC181" s="1447">
        <f>VLOOKUP($C181,'3B.Demographic'!$C$15:$N$414,8,FALSE)</f>
        <v>0</v>
      </c>
      <c r="AD181" s="1447">
        <f>VLOOKUP($C181,'3B.Demographic'!$C$15:$N$414,9,FALSE)</f>
        <v>0</v>
      </c>
      <c r="AE181" s="1447">
        <f>VLOOKUP($C181,'3B.Demographic'!$C$15:$N$414,10,FALSE)</f>
        <v>0</v>
      </c>
      <c r="AF181" s="1475">
        <f>VLOOKUP($C181,'3B.Demographic'!$C$15:$N$414,11,FALSE)</f>
        <v>0</v>
      </c>
      <c r="AG181" s="1229">
        <f>VLOOKUP($C181,'3B.Demographic'!$C$15:$N$414,12,FALSE)</f>
        <v>0</v>
      </c>
    </row>
    <row r="182" spans="1:33" ht="20.100000000000001" customHeight="1">
      <c r="A182" s="217" t="str">
        <f>IF(D182&lt;&gt;"", ' 1A.Prop&amp;Residents'!$B$7, "")</f>
        <v/>
      </c>
      <c r="B182" s="217" t="str">
        <f t="shared" si="8"/>
        <v/>
      </c>
      <c r="C182" s="34">
        <v>168</v>
      </c>
      <c r="D182" s="153"/>
      <c r="E182" s="154"/>
      <c r="F182" s="1775"/>
      <c r="G182" s="155"/>
      <c r="H182" s="156"/>
      <c r="I182" s="154"/>
      <c r="J182" s="157"/>
      <c r="K182" s="156"/>
      <c r="L182" s="154"/>
      <c r="M182" s="609" t="str">
        <f>IF(L182="","",IF(E182="","",IF('1B.TransitionalProg'!$H$8&gt;0,"",VLOOKUP($E182,' 1A.Prop&amp;Residents'!$P$41:$R$47,2,FALSE))))</f>
        <v/>
      </c>
      <c r="N182" s="609" t="str">
        <f>IF(L182="","",IF(E182="","",IF('1B.TransitionalProg'!$H$8&gt;0,"",VLOOKUP($E182,' 1A.Prop&amp;Residents'!$P$41:$R$47,3,FALSE))))</f>
        <v/>
      </c>
      <c r="O182" s="610" t="str">
        <f>IF(L182="", "", IF(E182="", "", IF('1B.TransitionalProg'!$H$8&gt;0,"",IF(L182&lt;M182,"overHOUSED?",IF(L182&gt;N182, "OVERcrowded?","")))))</f>
        <v/>
      </c>
      <c r="P182" s="623"/>
      <c r="Q182" s="154"/>
      <c r="R182" s="154"/>
      <c r="S182" s="156"/>
      <c r="T182" s="156"/>
      <c r="U182" s="156"/>
      <c r="V182" s="156"/>
      <c r="W182" s="1580" t="str">
        <f t="shared" si="6"/>
        <v/>
      </c>
      <c r="X182" s="155"/>
      <c r="Y182" s="156"/>
      <c r="Z182" s="233" t="str">
        <f t="shared" si="7"/>
        <v/>
      </c>
      <c r="AA182" s="1447">
        <f>VLOOKUP($C182,'3B.Demographic'!$C$15:$N$414,6,FALSE)</f>
        <v>0</v>
      </c>
      <c r="AB182" s="1447">
        <f>VLOOKUP($C182,'3B.Demographic'!$C$15:$N$414,7,FALSE)</f>
        <v>0</v>
      </c>
      <c r="AC182" s="1447">
        <f>VLOOKUP($C182,'3B.Demographic'!$C$15:$N$414,8,FALSE)</f>
        <v>0</v>
      </c>
      <c r="AD182" s="1447">
        <f>VLOOKUP($C182,'3B.Demographic'!$C$15:$N$414,9,FALSE)</f>
        <v>0</v>
      </c>
      <c r="AE182" s="1447">
        <f>VLOOKUP($C182,'3B.Demographic'!$C$15:$N$414,10,FALSE)</f>
        <v>0</v>
      </c>
      <c r="AF182" s="1475">
        <f>VLOOKUP($C182,'3B.Demographic'!$C$15:$N$414,11,FALSE)</f>
        <v>0</v>
      </c>
      <c r="AG182" s="1229">
        <f>VLOOKUP($C182,'3B.Demographic'!$C$15:$N$414,12,FALSE)</f>
        <v>0</v>
      </c>
    </row>
    <row r="183" spans="1:33" ht="20.100000000000001" customHeight="1">
      <c r="A183" s="217" t="str">
        <f>IF(D183&lt;&gt;"", ' 1A.Prop&amp;Residents'!$B$7, "")</f>
        <v/>
      </c>
      <c r="B183" s="217" t="str">
        <f t="shared" si="8"/>
        <v/>
      </c>
      <c r="C183" s="34">
        <v>169</v>
      </c>
      <c r="D183" s="153"/>
      <c r="E183" s="154"/>
      <c r="F183" s="1775"/>
      <c r="G183" s="155"/>
      <c r="H183" s="156"/>
      <c r="I183" s="154"/>
      <c r="J183" s="157"/>
      <c r="K183" s="156"/>
      <c r="L183" s="154"/>
      <c r="M183" s="609" t="str">
        <f>IF(L183="","",IF(E183="","",IF('1B.TransitionalProg'!$H$8&gt;0,"",VLOOKUP($E183,' 1A.Prop&amp;Residents'!$P$41:$R$47,2,FALSE))))</f>
        <v/>
      </c>
      <c r="N183" s="609" t="str">
        <f>IF(L183="","",IF(E183="","",IF('1B.TransitionalProg'!$H$8&gt;0,"",VLOOKUP($E183,' 1A.Prop&amp;Residents'!$P$41:$R$47,3,FALSE))))</f>
        <v/>
      </c>
      <c r="O183" s="610" t="str">
        <f>IF(L183="", "", IF(E183="", "", IF('1B.TransitionalProg'!$H$8&gt;0,"",IF(L183&lt;M183,"overHOUSED?",IF(L183&gt;N183, "OVERcrowded?","")))))</f>
        <v/>
      </c>
      <c r="P183" s="623"/>
      <c r="Q183" s="154"/>
      <c r="R183" s="154"/>
      <c r="S183" s="156"/>
      <c r="T183" s="156"/>
      <c r="U183" s="156"/>
      <c r="V183" s="156"/>
      <c r="W183" s="1580" t="str">
        <f t="shared" si="6"/>
        <v/>
      </c>
      <c r="X183" s="155"/>
      <c r="Y183" s="156"/>
      <c r="Z183" s="233" t="str">
        <f t="shared" si="7"/>
        <v/>
      </c>
      <c r="AA183" s="1447">
        <f>VLOOKUP($C183,'3B.Demographic'!$C$15:$N$414,6,FALSE)</f>
        <v>0</v>
      </c>
      <c r="AB183" s="1447">
        <f>VLOOKUP($C183,'3B.Demographic'!$C$15:$N$414,7,FALSE)</f>
        <v>0</v>
      </c>
      <c r="AC183" s="1447">
        <f>VLOOKUP($C183,'3B.Demographic'!$C$15:$N$414,8,FALSE)</f>
        <v>0</v>
      </c>
      <c r="AD183" s="1447">
        <f>VLOOKUP($C183,'3B.Demographic'!$C$15:$N$414,9,FALSE)</f>
        <v>0</v>
      </c>
      <c r="AE183" s="1447">
        <f>VLOOKUP($C183,'3B.Demographic'!$C$15:$N$414,10,FALSE)</f>
        <v>0</v>
      </c>
      <c r="AF183" s="1475">
        <f>VLOOKUP($C183,'3B.Demographic'!$C$15:$N$414,11,FALSE)</f>
        <v>0</v>
      </c>
      <c r="AG183" s="1229">
        <f>VLOOKUP($C183,'3B.Demographic'!$C$15:$N$414,12,FALSE)</f>
        <v>0</v>
      </c>
    </row>
    <row r="184" spans="1:33" ht="20.100000000000001" customHeight="1">
      <c r="A184" s="217" t="str">
        <f>IF(D184&lt;&gt;"", ' 1A.Prop&amp;Residents'!$B$7, "")</f>
        <v/>
      </c>
      <c r="B184" s="217" t="str">
        <f t="shared" si="8"/>
        <v/>
      </c>
      <c r="C184" s="34">
        <v>170</v>
      </c>
      <c r="D184" s="153"/>
      <c r="E184" s="154"/>
      <c r="F184" s="1775"/>
      <c r="G184" s="155"/>
      <c r="H184" s="156"/>
      <c r="I184" s="154"/>
      <c r="J184" s="157"/>
      <c r="K184" s="156"/>
      <c r="L184" s="154"/>
      <c r="M184" s="609" t="str">
        <f>IF(L184="","",IF(E184="","",IF('1B.TransitionalProg'!$H$8&gt;0,"",VLOOKUP($E184,' 1A.Prop&amp;Residents'!$P$41:$R$47,2,FALSE))))</f>
        <v/>
      </c>
      <c r="N184" s="609" t="str">
        <f>IF(L184="","",IF(E184="","",IF('1B.TransitionalProg'!$H$8&gt;0,"",VLOOKUP($E184,' 1A.Prop&amp;Residents'!$P$41:$R$47,3,FALSE))))</f>
        <v/>
      </c>
      <c r="O184" s="610" t="str">
        <f>IF(L184="", "", IF(E184="", "", IF('1B.TransitionalProg'!$H$8&gt;0,"",IF(L184&lt;M184,"overHOUSED?",IF(L184&gt;N184, "OVERcrowded?","")))))</f>
        <v/>
      </c>
      <c r="P184" s="623"/>
      <c r="Q184" s="154"/>
      <c r="R184" s="154"/>
      <c r="S184" s="156"/>
      <c r="T184" s="156"/>
      <c r="U184" s="156"/>
      <c r="V184" s="156"/>
      <c r="W184" s="1580" t="str">
        <f t="shared" si="6"/>
        <v/>
      </c>
      <c r="X184" s="155"/>
      <c r="Y184" s="156"/>
      <c r="Z184" s="233" t="str">
        <f t="shared" si="7"/>
        <v/>
      </c>
      <c r="AA184" s="1447">
        <f>VLOOKUP($C184,'3B.Demographic'!$C$15:$N$414,6,FALSE)</f>
        <v>0</v>
      </c>
      <c r="AB184" s="1447">
        <f>VLOOKUP($C184,'3B.Demographic'!$C$15:$N$414,7,FALSE)</f>
        <v>0</v>
      </c>
      <c r="AC184" s="1447">
        <f>VLOOKUP($C184,'3B.Demographic'!$C$15:$N$414,8,FALSE)</f>
        <v>0</v>
      </c>
      <c r="AD184" s="1447">
        <f>VLOOKUP($C184,'3B.Demographic'!$C$15:$N$414,9,FALSE)</f>
        <v>0</v>
      </c>
      <c r="AE184" s="1447">
        <f>VLOOKUP($C184,'3B.Demographic'!$C$15:$N$414,10,FALSE)</f>
        <v>0</v>
      </c>
      <c r="AF184" s="1475">
        <f>VLOOKUP($C184,'3B.Demographic'!$C$15:$N$414,11,FALSE)</f>
        <v>0</v>
      </c>
      <c r="AG184" s="1229">
        <f>VLOOKUP($C184,'3B.Demographic'!$C$15:$N$414,12,FALSE)</f>
        <v>0</v>
      </c>
    </row>
    <row r="185" spans="1:33" ht="20.100000000000001" customHeight="1">
      <c r="A185" s="217" t="str">
        <f>IF(D185&lt;&gt;"", ' 1A.Prop&amp;Residents'!$B$7, "")</f>
        <v/>
      </c>
      <c r="B185" s="217" t="str">
        <f t="shared" si="8"/>
        <v/>
      </c>
      <c r="C185" s="34">
        <v>171</v>
      </c>
      <c r="D185" s="153"/>
      <c r="E185" s="154"/>
      <c r="F185" s="1775"/>
      <c r="G185" s="155"/>
      <c r="H185" s="156"/>
      <c r="I185" s="154"/>
      <c r="J185" s="157"/>
      <c r="K185" s="156"/>
      <c r="L185" s="154"/>
      <c r="M185" s="609" t="str">
        <f>IF(L185="","",IF(E185="","",IF('1B.TransitionalProg'!$H$8&gt;0,"",VLOOKUP($E185,' 1A.Prop&amp;Residents'!$P$41:$R$47,2,FALSE))))</f>
        <v/>
      </c>
      <c r="N185" s="609" t="str">
        <f>IF(L185="","",IF(E185="","",IF('1B.TransitionalProg'!$H$8&gt;0,"",VLOOKUP($E185,' 1A.Prop&amp;Residents'!$P$41:$R$47,3,FALSE))))</f>
        <v/>
      </c>
      <c r="O185" s="610" t="str">
        <f>IF(L185="", "", IF(E185="", "", IF('1B.TransitionalProg'!$H$8&gt;0,"",IF(L185&lt;M185,"overHOUSED?",IF(L185&gt;N185, "OVERcrowded?","")))))</f>
        <v/>
      </c>
      <c r="P185" s="623"/>
      <c r="Q185" s="154"/>
      <c r="R185" s="154"/>
      <c r="S185" s="156"/>
      <c r="T185" s="156"/>
      <c r="U185" s="156"/>
      <c r="V185" s="156"/>
      <c r="W185" s="1580" t="str">
        <f t="shared" si="6"/>
        <v/>
      </c>
      <c r="X185" s="155"/>
      <c r="Y185" s="156"/>
      <c r="Z185" s="233" t="str">
        <f t="shared" si="7"/>
        <v/>
      </c>
      <c r="AA185" s="1447">
        <f>VLOOKUP($C185,'3B.Demographic'!$C$15:$N$414,6,FALSE)</f>
        <v>0</v>
      </c>
      <c r="AB185" s="1447">
        <f>VLOOKUP($C185,'3B.Demographic'!$C$15:$N$414,7,FALSE)</f>
        <v>0</v>
      </c>
      <c r="AC185" s="1447">
        <f>VLOOKUP($C185,'3B.Demographic'!$C$15:$N$414,8,FALSE)</f>
        <v>0</v>
      </c>
      <c r="AD185" s="1447">
        <f>VLOOKUP($C185,'3B.Demographic'!$C$15:$N$414,9,FALSE)</f>
        <v>0</v>
      </c>
      <c r="AE185" s="1447">
        <f>VLOOKUP($C185,'3B.Demographic'!$C$15:$N$414,10,FALSE)</f>
        <v>0</v>
      </c>
      <c r="AF185" s="1475">
        <f>VLOOKUP($C185,'3B.Demographic'!$C$15:$N$414,11,FALSE)</f>
        <v>0</v>
      </c>
      <c r="AG185" s="1229">
        <f>VLOOKUP($C185,'3B.Demographic'!$C$15:$N$414,12,FALSE)</f>
        <v>0</v>
      </c>
    </row>
    <row r="186" spans="1:33" ht="20.100000000000001" customHeight="1">
      <c r="A186" s="217" t="str">
        <f>IF(D186&lt;&gt;"", ' 1A.Prop&amp;Residents'!$B$7, "")</f>
        <v/>
      </c>
      <c r="B186" s="217" t="str">
        <f t="shared" si="8"/>
        <v/>
      </c>
      <c r="C186" s="34">
        <v>172</v>
      </c>
      <c r="D186" s="153"/>
      <c r="E186" s="154"/>
      <c r="F186" s="1775"/>
      <c r="G186" s="155"/>
      <c r="H186" s="156"/>
      <c r="I186" s="154"/>
      <c r="J186" s="157"/>
      <c r="K186" s="156"/>
      <c r="L186" s="154"/>
      <c r="M186" s="609" t="str">
        <f>IF(L186="","",IF(E186="","",IF('1B.TransitionalProg'!$H$8&gt;0,"",VLOOKUP($E186,' 1A.Prop&amp;Residents'!$P$41:$R$47,2,FALSE))))</f>
        <v/>
      </c>
      <c r="N186" s="609" t="str">
        <f>IF(L186="","",IF(E186="","",IF('1B.TransitionalProg'!$H$8&gt;0,"",VLOOKUP($E186,' 1A.Prop&amp;Residents'!$P$41:$R$47,3,FALSE))))</f>
        <v/>
      </c>
      <c r="O186" s="610" t="str">
        <f>IF(L186="", "", IF(E186="", "", IF('1B.TransitionalProg'!$H$8&gt;0,"",IF(L186&lt;M186,"overHOUSED?",IF(L186&gt;N186, "OVERcrowded?","")))))</f>
        <v/>
      </c>
      <c r="P186" s="623"/>
      <c r="Q186" s="154"/>
      <c r="R186" s="154"/>
      <c r="S186" s="156"/>
      <c r="T186" s="156"/>
      <c r="U186" s="156"/>
      <c r="V186" s="156"/>
      <c r="W186" s="1580" t="str">
        <f t="shared" si="6"/>
        <v/>
      </c>
      <c r="X186" s="155"/>
      <c r="Y186" s="156"/>
      <c r="Z186" s="233" t="str">
        <f t="shared" si="7"/>
        <v/>
      </c>
      <c r="AA186" s="1447">
        <f>VLOOKUP($C186,'3B.Demographic'!$C$15:$N$414,6,FALSE)</f>
        <v>0</v>
      </c>
      <c r="AB186" s="1447">
        <f>VLOOKUP($C186,'3B.Demographic'!$C$15:$N$414,7,FALSE)</f>
        <v>0</v>
      </c>
      <c r="AC186" s="1447">
        <f>VLOOKUP($C186,'3B.Demographic'!$C$15:$N$414,8,FALSE)</f>
        <v>0</v>
      </c>
      <c r="AD186" s="1447">
        <f>VLOOKUP($C186,'3B.Demographic'!$C$15:$N$414,9,FALSE)</f>
        <v>0</v>
      </c>
      <c r="AE186" s="1447">
        <f>VLOOKUP($C186,'3B.Demographic'!$C$15:$N$414,10,FALSE)</f>
        <v>0</v>
      </c>
      <c r="AF186" s="1475">
        <f>VLOOKUP($C186,'3B.Demographic'!$C$15:$N$414,11,FALSE)</f>
        <v>0</v>
      </c>
      <c r="AG186" s="1229">
        <f>VLOOKUP($C186,'3B.Demographic'!$C$15:$N$414,12,FALSE)</f>
        <v>0</v>
      </c>
    </row>
    <row r="187" spans="1:33" ht="20.100000000000001" customHeight="1">
      <c r="A187" s="217" t="str">
        <f>IF(D187&lt;&gt;"", ' 1A.Prop&amp;Residents'!$B$7, "")</f>
        <v/>
      </c>
      <c r="B187" s="217" t="str">
        <f t="shared" si="8"/>
        <v/>
      </c>
      <c r="C187" s="34">
        <v>173</v>
      </c>
      <c r="D187" s="153"/>
      <c r="E187" s="154"/>
      <c r="F187" s="1775"/>
      <c r="G187" s="155"/>
      <c r="H187" s="156"/>
      <c r="I187" s="154"/>
      <c r="J187" s="157"/>
      <c r="K187" s="156"/>
      <c r="L187" s="154"/>
      <c r="M187" s="609" t="str">
        <f>IF(L187="","",IF(E187="","",IF('1B.TransitionalProg'!$H$8&gt;0,"",VLOOKUP($E187,' 1A.Prop&amp;Residents'!$P$41:$R$47,2,FALSE))))</f>
        <v/>
      </c>
      <c r="N187" s="609" t="str">
        <f>IF(L187="","",IF(E187="","",IF('1B.TransitionalProg'!$H$8&gt;0,"",VLOOKUP($E187,' 1A.Prop&amp;Residents'!$P$41:$R$47,3,FALSE))))</f>
        <v/>
      </c>
      <c r="O187" s="610" t="str">
        <f>IF(L187="", "", IF(E187="", "", IF('1B.TransitionalProg'!$H$8&gt;0,"",IF(L187&lt;M187,"overHOUSED?",IF(L187&gt;N187, "OVERcrowded?","")))))</f>
        <v/>
      </c>
      <c r="P187" s="623"/>
      <c r="Q187" s="154"/>
      <c r="R187" s="154"/>
      <c r="S187" s="156"/>
      <c r="T187" s="156"/>
      <c r="U187" s="156"/>
      <c r="V187" s="156"/>
      <c r="W187" s="1580" t="str">
        <f t="shared" si="6"/>
        <v/>
      </c>
      <c r="X187" s="155"/>
      <c r="Y187" s="156"/>
      <c r="Z187" s="233" t="str">
        <f t="shared" si="7"/>
        <v/>
      </c>
      <c r="AA187" s="1447">
        <f>VLOOKUP($C187,'3B.Demographic'!$C$15:$N$414,6,FALSE)</f>
        <v>0</v>
      </c>
      <c r="AB187" s="1447">
        <f>VLOOKUP($C187,'3B.Demographic'!$C$15:$N$414,7,FALSE)</f>
        <v>0</v>
      </c>
      <c r="AC187" s="1447">
        <f>VLOOKUP($C187,'3B.Demographic'!$C$15:$N$414,8,FALSE)</f>
        <v>0</v>
      </c>
      <c r="AD187" s="1447">
        <f>VLOOKUP($C187,'3B.Demographic'!$C$15:$N$414,9,FALSE)</f>
        <v>0</v>
      </c>
      <c r="AE187" s="1447">
        <f>VLOOKUP($C187,'3B.Demographic'!$C$15:$N$414,10,FALSE)</f>
        <v>0</v>
      </c>
      <c r="AF187" s="1475">
        <f>VLOOKUP($C187,'3B.Demographic'!$C$15:$N$414,11,FALSE)</f>
        <v>0</v>
      </c>
      <c r="AG187" s="1229">
        <f>VLOOKUP($C187,'3B.Demographic'!$C$15:$N$414,12,FALSE)</f>
        <v>0</v>
      </c>
    </row>
    <row r="188" spans="1:33" ht="20.100000000000001" customHeight="1">
      <c r="A188" s="217" t="str">
        <f>IF(D188&lt;&gt;"", ' 1A.Prop&amp;Residents'!$B$7, "")</f>
        <v/>
      </c>
      <c r="B188" s="217" t="str">
        <f t="shared" si="8"/>
        <v/>
      </c>
      <c r="C188" s="34">
        <v>174</v>
      </c>
      <c r="D188" s="153"/>
      <c r="E188" s="154"/>
      <c r="F188" s="1775"/>
      <c r="G188" s="155"/>
      <c r="H188" s="156"/>
      <c r="I188" s="154"/>
      <c r="J188" s="157"/>
      <c r="K188" s="156"/>
      <c r="L188" s="154"/>
      <c r="M188" s="609" t="str">
        <f>IF(L188="","",IF(E188="","",IF('1B.TransitionalProg'!$H$8&gt;0,"",VLOOKUP($E188,' 1A.Prop&amp;Residents'!$P$41:$R$47,2,FALSE))))</f>
        <v/>
      </c>
      <c r="N188" s="609" t="str">
        <f>IF(L188="","",IF(E188="","",IF('1B.TransitionalProg'!$H$8&gt;0,"",VLOOKUP($E188,' 1A.Prop&amp;Residents'!$P$41:$R$47,3,FALSE))))</f>
        <v/>
      </c>
      <c r="O188" s="610" t="str">
        <f>IF(L188="", "", IF(E188="", "", IF('1B.TransitionalProg'!$H$8&gt;0,"",IF(L188&lt;M188,"overHOUSED?",IF(L188&gt;N188, "OVERcrowded?","")))))</f>
        <v/>
      </c>
      <c r="P188" s="623"/>
      <c r="Q188" s="154"/>
      <c r="R188" s="154"/>
      <c r="S188" s="156"/>
      <c r="T188" s="156"/>
      <c r="U188" s="156"/>
      <c r="V188" s="156"/>
      <c r="W188" s="1580" t="str">
        <f t="shared" si="6"/>
        <v/>
      </c>
      <c r="X188" s="155"/>
      <c r="Y188" s="156"/>
      <c r="Z188" s="233" t="str">
        <f t="shared" si="7"/>
        <v/>
      </c>
      <c r="AA188" s="1447">
        <f>VLOOKUP($C188,'3B.Demographic'!$C$15:$N$414,6,FALSE)</f>
        <v>0</v>
      </c>
      <c r="AB188" s="1447">
        <f>VLOOKUP($C188,'3B.Demographic'!$C$15:$N$414,7,FALSE)</f>
        <v>0</v>
      </c>
      <c r="AC188" s="1447">
        <f>VLOOKUP($C188,'3B.Demographic'!$C$15:$N$414,8,FALSE)</f>
        <v>0</v>
      </c>
      <c r="AD188" s="1447">
        <f>VLOOKUP($C188,'3B.Demographic'!$C$15:$N$414,9,FALSE)</f>
        <v>0</v>
      </c>
      <c r="AE188" s="1447">
        <f>VLOOKUP($C188,'3B.Demographic'!$C$15:$N$414,10,FALSE)</f>
        <v>0</v>
      </c>
      <c r="AF188" s="1475">
        <f>VLOOKUP($C188,'3B.Demographic'!$C$15:$N$414,11,FALSE)</f>
        <v>0</v>
      </c>
      <c r="AG188" s="1229">
        <f>VLOOKUP($C188,'3B.Demographic'!$C$15:$N$414,12,FALSE)</f>
        <v>0</v>
      </c>
    </row>
    <row r="189" spans="1:33" ht="20.100000000000001" customHeight="1">
      <c r="A189" s="217" t="str">
        <f>IF(D189&lt;&gt;"", ' 1A.Prop&amp;Residents'!$B$7, "")</f>
        <v/>
      </c>
      <c r="B189" s="217" t="str">
        <f t="shared" si="8"/>
        <v/>
      </c>
      <c r="C189" s="34">
        <v>175</v>
      </c>
      <c r="D189" s="153"/>
      <c r="E189" s="154"/>
      <c r="F189" s="1775"/>
      <c r="G189" s="155"/>
      <c r="H189" s="156"/>
      <c r="I189" s="154"/>
      <c r="J189" s="157"/>
      <c r="K189" s="156"/>
      <c r="L189" s="154"/>
      <c r="M189" s="609" t="str">
        <f>IF(L189="","",IF(E189="","",IF('1B.TransitionalProg'!$H$8&gt;0,"",VLOOKUP($E189,' 1A.Prop&amp;Residents'!$P$41:$R$47,2,FALSE))))</f>
        <v/>
      </c>
      <c r="N189" s="609" t="str">
        <f>IF(L189="","",IF(E189="","",IF('1B.TransitionalProg'!$H$8&gt;0,"",VLOOKUP($E189,' 1A.Prop&amp;Residents'!$P$41:$R$47,3,FALSE))))</f>
        <v/>
      </c>
      <c r="O189" s="610" t="str">
        <f>IF(L189="", "", IF(E189="", "", IF('1B.TransitionalProg'!$H$8&gt;0,"",IF(L189&lt;M189,"overHOUSED?",IF(L189&gt;N189, "OVERcrowded?","")))))</f>
        <v/>
      </c>
      <c r="P189" s="623"/>
      <c r="Q189" s="154"/>
      <c r="R189" s="154"/>
      <c r="S189" s="156"/>
      <c r="T189" s="156"/>
      <c r="U189" s="156"/>
      <c r="V189" s="156"/>
      <c r="W189" s="1580" t="str">
        <f t="shared" si="6"/>
        <v/>
      </c>
      <c r="X189" s="155"/>
      <c r="Y189" s="156"/>
      <c r="Z189" s="233" t="str">
        <f t="shared" si="7"/>
        <v/>
      </c>
      <c r="AA189" s="1447">
        <f>VLOOKUP($C189,'3B.Demographic'!$C$15:$N$414,6,FALSE)</f>
        <v>0</v>
      </c>
      <c r="AB189" s="1447">
        <f>VLOOKUP($C189,'3B.Demographic'!$C$15:$N$414,7,FALSE)</f>
        <v>0</v>
      </c>
      <c r="AC189" s="1447">
        <f>VLOOKUP($C189,'3B.Demographic'!$C$15:$N$414,8,FALSE)</f>
        <v>0</v>
      </c>
      <c r="AD189" s="1447">
        <f>VLOOKUP($C189,'3B.Demographic'!$C$15:$N$414,9,FALSE)</f>
        <v>0</v>
      </c>
      <c r="AE189" s="1447">
        <f>VLOOKUP($C189,'3B.Demographic'!$C$15:$N$414,10,FALSE)</f>
        <v>0</v>
      </c>
      <c r="AF189" s="1475">
        <f>VLOOKUP($C189,'3B.Demographic'!$C$15:$N$414,11,FALSE)</f>
        <v>0</v>
      </c>
      <c r="AG189" s="1229">
        <f>VLOOKUP($C189,'3B.Demographic'!$C$15:$N$414,12,FALSE)</f>
        <v>0</v>
      </c>
    </row>
    <row r="190" spans="1:33" ht="20.100000000000001" customHeight="1">
      <c r="A190" s="217" t="str">
        <f>IF(D190&lt;&gt;"", ' 1A.Prop&amp;Residents'!$B$7, "")</f>
        <v/>
      </c>
      <c r="B190" s="217" t="str">
        <f t="shared" si="8"/>
        <v/>
      </c>
      <c r="C190" s="34">
        <v>176</v>
      </c>
      <c r="D190" s="153"/>
      <c r="E190" s="154"/>
      <c r="F190" s="1775"/>
      <c r="G190" s="155"/>
      <c r="H190" s="156"/>
      <c r="I190" s="154"/>
      <c r="J190" s="157"/>
      <c r="K190" s="156"/>
      <c r="L190" s="154"/>
      <c r="M190" s="609" t="str">
        <f>IF(L190="","",IF(E190="","",IF('1B.TransitionalProg'!$H$8&gt;0,"",VLOOKUP($E190,' 1A.Prop&amp;Residents'!$P$41:$R$47,2,FALSE))))</f>
        <v/>
      </c>
      <c r="N190" s="609" t="str">
        <f>IF(L190="","",IF(E190="","",IF('1B.TransitionalProg'!$H$8&gt;0,"",VLOOKUP($E190,' 1A.Prop&amp;Residents'!$P$41:$R$47,3,FALSE))))</f>
        <v/>
      </c>
      <c r="O190" s="610" t="str">
        <f>IF(L190="", "", IF(E190="", "", IF('1B.TransitionalProg'!$H$8&gt;0,"",IF(L190&lt;M190,"overHOUSED?",IF(L190&gt;N190, "OVERcrowded?","")))))</f>
        <v/>
      </c>
      <c r="P190" s="623"/>
      <c r="Q190" s="154"/>
      <c r="R190" s="154"/>
      <c r="S190" s="156"/>
      <c r="T190" s="156"/>
      <c r="U190" s="156"/>
      <c r="V190" s="156"/>
      <c r="W190" s="1580" t="str">
        <f t="shared" si="6"/>
        <v/>
      </c>
      <c r="X190" s="155"/>
      <c r="Y190" s="156"/>
      <c r="Z190" s="233" t="str">
        <f t="shared" si="7"/>
        <v/>
      </c>
      <c r="AA190" s="1447">
        <f>VLOOKUP($C190,'3B.Demographic'!$C$15:$N$414,6,FALSE)</f>
        <v>0</v>
      </c>
      <c r="AB190" s="1447">
        <f>VLOOKUP($C190,'3B.Demographic'!$C$15:$N$414,7,FALSE)</f>
        <v>0</v>
      </c>
      <c r="AC190" s="1447">
        <f>VLOOKUP($C190,'3B.Demographic'!$C$15:$N$414,8,FALSE)</f>
        <v>0</v>
      </c>
      <c r="AD190" s="1447">
        <f>VLOOKUP($C190,'3B.Demographic'!$C$15:$N$414,9,FALSE)</f>
        <v>0</v>
      </c>
      <c r="AE190" s="1447">
        <f>VLOOKUP($C190,'3B.Demographic'!$C$15:$N$414,10,FALSE)</f>
        <v>0</v>
      </c>
      <c r="AF190" s="1475">
        <f>VLOOKUP($C190,'3B.Demographic'!$C$15:$N$414,11,FALSE)</f>
        <v>0</v>
      </c>
      <c r="AG190" s="1229">
        <f>VLOOKUP($C190,'3B.Demographic'!$C$15:$N$414,12,FALSE)</f>
        <v>0</v>
      </c>
    </row>
    <row r="191" spans="1:33" ht="20.100000000000001" customHeight="1">
      <c r="A191" s="217" t="str">
        <f>IF(D191&lt;&gt;"", ' 1A.Prop&amp;Residents'!$B$7, "")</f>
        <v/>
      </c>
      <c r="B191" s="217" t="str">
        <f t="shared" si="8"/>
        <v/>
      </c>
      <c r="C191" s="34">
        <v>177</v>
      </c>
      <c r="D191" s="153"/>
      <c r="E191" s="154"/>
      <c r="F191" s="1775"/>
      <c r="G191" s="155"/>
      <c r="H191" s="156"/>
      <c r="I191" s="154"/>
      <c r="J191" s="157"/>
      <c r="K191" s="156"/>
      <c r="L191" s="154"/>
      <c r="M191" s="609" t="str">
        <f>IF(L191="","",IF(E191="","",IF('1B.TransitionalProg'!$H$8&gt;0,"",VLOOKUP($E191,' 1A.Prop&amp;Residents'!$P$41:$R$47,2,FALSE))))</f>
        <v/>
      </c>
      <c r="N191" s="609" t="str">
        <f>IF(L191="","",IF(E191="","",IF('1B.TransitionalProg'!$H$8&gt;0,"",VLOOKUP($E191,' 1A.Prop&amp;Residents'!$P$41:$R$47,3,FALSE))))</f>
        <v/>
      </c>
      <c r="O191" s="610" t="str">
        <f>IF(L191="", "", IF(E191="", "", IF('1B.TransitionalProg'!$H$8&gt;0,"",IF(L191&lt;M191,"overHOUSED?",IF(L191&gt;N191, "OVERcrowded?","")))))</f>
        <v/>
      </c>
      <c r="P191" s="623"/>
      <c r="Q191" s="154"/>
      <c r="R191" s="154"/>
      <c r="S191" s="156"/>
      <c r="T191" s="156"/>
      <c r="U191" s="156"/>
      <c r="V191" s="156"/>
      <c r="W191" s="1580" t="str">
        <f t="shared" si="6"/>
        <v/>
      </c>
      <c r="X191" s="155"/>
      <c r="Y191" s="156"/>
      <c r="Z191" s="233" t="str">
        <f t="shared" si="7"/>
        <v/>
      </c>
      <c r="AA191" s="1447">
        <f>VLOOKUP($C191,'3B.Demographic'!$C$15:$N$414,6,FALSE)</f>
        <v>0</v>
      </c>
      <c r="AB191" s="1447">
        <f>VLOOKUP($C191,'3B.Demographic'!$C$15:$N$414,7,FALSE)</f>
        <v>0</v>
      </c>
      <c r="AC191" s="1447">
        <f>VLOOKUP($C191,'3B.Demographic'!$C$15:$N$414,8,FALSE)</f>
        <v>0</v>
      </c>
      <c r="AD191" s="1447">
        <f>VLOOKUP($C191,'3B.Demographic'!$C$15:$N$414,9,FALSE)</f>
        <v>0</v>
      </c>
      <c r="AE191" s="1447">
        <f>VLOOKUP($C191,'3B.Demographic'!$C$15:$N$414,10,FALSE)</f>
        <v>0</v>
      </c>
      <c r="AF191" s="1475">
        <f>VLOOKUP($C191,'3B.Demographic'!$C$15:$N$414,11,FALSE)</f>
        <v>0</v>
      </c>
      <c r="AG191" s="1229">
        <f>VLOOKUP($C191,'3B.Demographic'!$C$15:$N$414,12,FALSE)</f>
        <v>0</v>
      </c>
    </row>
    <row r="192" spans="1:33" ht="20.100000000000001" customHeight="1">
      <c r="A192" s="217" t="str">
        <f>IF(D192&lt;&gt;"", ' 1A.Prop&amp;Residents'!$B$7, "")</f>
        <v/>
      </c>
      <c r="B192" s="217" t="str">
        <f t="shared" si="8"/>
        <v/>
      </c>
      <c r="C192" s="34">
        <v>178</v>
      </c>
      <c r="D192" s="153"/>
      <c r="E192" s="154"/>
      <c r="F192" s="1775"/>
      <c r="G192" s="155"/>
      <c r="H192" s="156"/>
      <c r="I192" s="154"/>
      <c r="J192" s="157"/>
      <c r="K192" s="156"/>
      <c r="L192" s="154"/>
      <c r="M192" s="609" t="str">
        <f>IF(L192="","",IF(E192="","",IF('1B.TransitionalProg'!$H$8&gt;0,"",VLOOKUP($E192,' 1A.Prop&amp;Residents'!$P$41:$R$47,2,FALSE))))</f>
        <v/>
      </c>
      <c r="N192" s="609" t="str">
        <f>IF(L192="","",IF(E192="","",IF('1B.TransitionalProg'!$H$8&gt;0,"",VLOOKUP($E192,' 1A.Prop&amp;Residents'!$P$41:$R$47,3,FALSE))))</f>
        <v/>
      </c>
      <c r="O192" s="610" t="str">
        <f>IF(L192="", "", IF(E192="", "", IF('1B.TransitionalProg'!$H$8&gt;0,"",IF(L192&lt;M192,"overHOUSED?",IF(L192&gt;N192, "OVERcrowded?","")))))</f>
        <v/>
      </c>
      <c r="P192" s="623"/>
      <c r="Q192" s="154"/>
      <c r="R192" s="154"/>
      <c r="S192" s="156"/>
      <c r="T192" s="156"/>
      <c r="U192" s="156"/>
      <c r="V192" s="156"/>
      <c r="W192" s="1580" t="str">
        <f t="shared" si="6"/>
        <v/>
      </c>
      <c r="X192" s="155"/>
      <c r="Y192" s="156"/>
      <c r="Z192" s="233" t="str">
        <f t="shared" si="7"/>
        <v/>
      </c>
      <c r="AA192" s="1447">
        <f>VLOOKUP($C192,'3B.Demographic'!$C$15:$N$414,6,FALSE)</f>
        <v>0</v>
      </c>
      <c r="AB192" s="1447">
        <f>VLOOKUP($C192,'3B.Demographic'!$C$15:$N$414,7,FALSE)</f>
        <v>0</v>
      </c>
      <c r="AC192" s="1447">
        <f>VLOOKUP($C192,'3B.Demographic'!$C$15:$N$414,8,FALSE)</f>
        <v>0</v>
      </c>
      <c r="AD192" s="1447">
        <f>VLOOKUP($C192,'3B.Demographic'!$C$15:$N$414,9,FALSE)</f>
        <v>0</v>
      </c>
      <c r="AE192" s="1447">
        <f>VLOOKUP($C192,'3B.Demographic'!$C$15:$N$414,10,FALSE)</f>
        <v>0</v>
      </c>
      <c r="AF192" s="1475">
        <f>VLOOKUP($C192,'3B.Demographic'!$C$15:$N$414,11,FALSE)</f>
        <v>0</v>
      </c>
      <c r="AG192" s="1229">
        <f>VLOOKUP($C192,'3B.Demographic'!$C$15:$N$414,12,FALSE)</f>
        <v>0</v>
      </c>
    </row>
    <row r="193" spans="1:33" ht="20.100000000000001" customHeight="1">
      <c r="A193" s="217" t="str">
        <f>IF(D193&lt;&gt;"", ' 1A.Prop&amp;Residents'!$B$7, "")</f>
        <v/>
      </c>
      <c r="B193" s="217" t="str">
        <f t="shared" si="8"/>
        <v/>
      </c>
      <c r="C193" s="34">
        <v>179</v>
      </c>
      <c r="D193" s="153"/>
      <c r="E193" s="154"/>
      <c r="F193" s="1775"/>
      <c r="G193" s="155"/>
      <c r="H193" s="156"/>
      <c r="I193" s="154"/>
      <c r="J193" s="157"/>
      <c r="K193" s="156"/>
      <c r="L193" s="154"/>
      <c r="M193" s="609" t="str">
        <f>IF(L193="","",IF(E193="","",IF('1B.TransitionalProg'!$H$8&gt;0,"",VLOOKUP($E193,' 1A.Prop&amp;Residents'!$P$41:$R$47,2,FALSE))))</f>
        <v/>
      </c>
      <c r="N193" s="609" t="str">
        <f>IF(L193="","",IF(E193="","",IF('1B.TransitionalProg'!$H$8&gt;0,"",VLOOKUP($E193,' 1A.Prop&amp;Residents'!$P$41:$R$47,3,FALSE))))</f>
        <v/>
      </c>
      <c r="O193" s="610" t="str">
        <f>IF(L193="", "", IF(E193="", "", IF('1B.TransitionalProg'!$H$8&gt;0,"",IF(L193&lt;M193,"overHOUSED?",IF(L193&gt;N193, "OVERcrowded?","")))))</f>
        <v/>
      </c>
      <c r="P193" s="623"/>
      <c r="Q193" s="154"/>
      <c r="R193" s="154"/>
      <c r="S193" s="156"/>
      <c r="T193" s="156"/>
      <c r="U193" s="156"/>
      <c r="V193" s="156"/>
      <c r="W193" s="1580" t="str">
        <f t="shared" si="6"/>
        <v/>
      </c>
      <c r="X193" s="155"/>
      <c r="Y193" s="156"/>
      <c r="Z193" s="233" t="str">
        <f t="shared" si="7"/>
        <v/>
      </c>
      <c r="AA193" s="1447">
        <f>VLOOKUP($C193,'3B.Demographic'!$C$15:$N$414,6,FALSE)</f>
        <v>0</v>
      </c>
      <c r="AB193" s="1447">
        <f>VLOOKUP($C193,'3B.Demographic'!$C$15:$N$414,7,FALSE)</f>
        <v>0</v>
      </c>
      <c r="AC193" s="1447">
        <f>VLOOKUP($C193,'3B.Demographic'!$C$15:$N$414,8,FALSE)</f>
        <v>0</v>
      </c>
      <c r="AD193" s="1447">
        <f>VLOOKUP($C193,'3B.Demographic'!$C$15:$N$414,9,FALSE)</f>
        <v>0</v>
      </c>
      <c r="AE193" s="1447">
        <f>VLOOKUP($C193,'3B.Demographic'!$C$15:$N$414,10,FALSE)</f>
        <v>0</v>
      </c>
      <c r="AF193" s="1475">
        <f>VLOOKUP($C193,'3B.Demographic'!$C$15:$N$414,11,FALSE)</f>
        <v>0</v>
      </c>
      <c r="AG193" s="1229">
        <f>VLOOKUP($C193,'3B.Demographic'!$C$15:$N$414,12,FALSE)</f>
        <v>0</v>
      </c>
    </row>
    <row r="194" spans="1:33" ht="20.100000000000001" customHeight="1">
      <c r="A194" s="217" t="str">
        <f>IF(D194&lt;&gt;"", ' 1A.Prop&amp;Residents'!$B$7, "")</f>
        <v/>
      </c>
      <c r="B194" s="217" t="str">
        <f t="shared" si="8"/>
        <v/>
      </c>
      <c r="C194" s="34">
        <v>180</v>
      </c>
      <c r="D194" s="153"/>
      <c r="E194" s="154"/>
      <c r="F194" s="1775"/>
      <c r="G194" s="155"/>
      <c r="H194" s="156"/>
      <c r="I194" s="154"/>
      <c r="J194" s="157"/>
      <c r="K194" s="156"/>
      <c r="L194" s="154"/>
      <c r="M194" s="609" t="str">
        <f>IF(L194="","",IF(E194="","",IF('1B.TransitionalProg'!$H$8&gt;0,"",VLOOKUP($E194,' 1A.Prop&amp;Residents'!$P$41:$R$47,2,FALSE))))</f>
        <v/>
      </c>
      <c r="N194" s="609" t="str">
        <f>IF(L194="","",IF(E194="","",IF('1B.TransitionalProg'!$H$8&gt;0,"",VLOOKUP($E194,' 1A.Prop&amp;Residents'!$P$41:$R$47,3,FALSE))))</f>
        <v/>
      </c>
      <c r="O194" s="610" t="str">
        <f>IF(L194="", "", IF(E194="", "", IF('1B.TransitionalProg'!$H$8&gt;0,"",IF(L194&lt;M194,"overHOUSED?",IF(L194&gt;N194, "OVERcrowded?","")))))</f>
        <v/>
      </c>
      <c r="P194" s="623"/>
      <c r="Q194" s="154"/>
      <c r="R194" s="154"/>
      <c r="S194" s="156"/>
      <c r="T194" s="156"/>
      <c r="U194" s="156"/>
      <c r="V194" s="156"/>
      <c r="W194" s="1580" t="str">
        <f t="shared" si="6"/>
        <v/>
      </c>
      <c r="X194" s="155"/>
      <c r="Y194" s="156"/>
      <c r="Z194" s="233" t="str">
        <f t="shared" si="7"/>
        <v/>
      </c>
      <c r="AA194" s="1447">
        <f>VLOOKUP($C194,'3B.Demographic'!$C$15:$N$414,6,FALSE)</f>
        <v>0</v>
      </c>
      <c r="AB194" s="1447">
        <f>VLOOKUP($C194,'3B.Demographic'!$C$15:$N$414,7,FALSE)</f>
        <v>0</v>
      </c>
      <c r="AC194" s="1447">
        <f>VLOOKUP($C194,'3B.Demographic'!$C$15:$N$414,8,FALSE)</f>
        <v>0</v>
      </c>
      <c r="AD194" s="1447">
        <f>VLOOKUP($C194,'3B.Demographic'!$C$15:$N$414,9,FALSE)</f>
        <v>0</v>
      </c>
      <c r="AE194" s="1447">
        <f>VLOOKUP($C194,'3B.Demographic'!$C$15:$N$414,10,FALSE)</f>
        <v>0</v>
      </c>
      <c r="AF194" s="1475">
        <f>VLOOKUP($C194,'3B.Demographic'!$C$15:$N$414,11,FALSE)</f>
        <v>0</v>
      </c>
      <c r="AG194" s="1229">
        <f>VLOOKUP($C194,'3B.Demographic'!$C$15:$N$414,12,FALSE)</f>
        <v>0</v>
      </c>
    </row>
    <row r="195" spans="1:33" ht="20.100000000000001" customHeight="1">
      <c r="A195" s="217" t="str">
        <f>IF(D195&lt;&gt;"", ' 1A.Prop&amp;Residents'!$B$7, "")</f>
        <v/>
      </c>
      <c r="B195" s="217" t="str">
        <f t="shared" si="8"/>
        <v/>
      </c>
      <c r="C195" s="34">
        <v>181</v>
      </c>
      <c r="D195" s="153"/>
      <c r="E195" s="154"/>
      <c r="F195" s="1775"/>
      <c r="G195" s="155"/>
      <c r="H195" s="156"/>
      <c r="I195" s="154"/>
      <c r="J195" s="157"/>
      <c r="K195" s="156"/>
      <c r="L195" s="154"/>
      <c r="M195" s="609" t="str">
        <f>IF(L195="","",IF(E195="","",IF('1B.TransitionalProg'!$H$8&gt;0,"",VLOOKUP($E195,' 1A.Prop&amp;Residents'!$P$41:$R$47,2,FALSE))))</f>
        <v/>
      </c>
      <c r="N195" s="609" t="str">
        <f>IF(L195="","",IF(E195="","",IF('1B.TransitionalProg'!$H$8&gt;0,"",VLOOKUP($E195,' 1A.Prop&amp;Residents'!$P$41:$R$47,3,FALSE))))</f>
        <v/>
      </c>
      <c r="O195" s="610" t="str">
        <f>IF(L195="", "", IF(E195="", "", IF('1B.TransitionalProg'!$H$8&gt;0,"",IF(L195&lt;M195,"overHOUSED?",IF(L195&gt;N195, "OVERcrowded?","")))))</f>
        <v/>
      </c>
      <c r="P195" s="623"/>
      <c r="Q195" s="154"/>
      <c r="R195" s="154"/>
      <c r="S195" s="156"/>
      <c r="T195" s="156"/>
      <c r="U195" s="156"/>
      <c r="V195" s="156"/>
      <c r="W195" s="1580" t="str">
        <f t="shared" si="6"/>
        <v/>
      </c>
      <c r="X195" s="155"/>
      <c r="Y195" s="156"/>
      <c r="Z195" s="233" t="str">
        <f t="shared" si="7"/>
        <v/>
      </c>
      <c r="AA195" s="1447">
        <f>VLOOKUP($C195,'3B.Demographic'!$C$15:$N$414,6,FALSE)</f>
        <v>0</v>
      </c>
      <c r="AB195" s="1447">
        <f>VLOOKUP($C195,'3B.Demographic'!$C$15:$N$414,7,FALSE)</f>
        <v>0</v>
      </c>
      <c r="AC195" s="1447">
        <f>VLOOKUP($C195,'3B.Demographic'!$C$15:$N$414,8,FALSE)</f>
        <v>0</v>
      </c>
      <c r="AD195" s="1447">
        <f>VLOOKUP($C195,'3B.Demographic'!$C$15:$N$414,9,FALSE)</f>
        <v>0</v>
      </c>
      <c r="AE195" s="1447">
        <f>VLOOKUP($C195,'3B.Demographic'!$C$15:$N$414,10,FALSE)</f>
        <v>0</v>
      </c>
      <c r="AF195" s="1475">
        <f>VLOOKUP($C195,'3B.Demographic'!$C$15:$N$414,11,FALSE)</f>
        <v>0</v>
      </c>
      <c r="AG195" s="1229">
        <f>VLOOKUP($C195,'3B.Demographic'!$C$15:$N$414,12,FALSE)</f>
        <v>0</v>
      </c>
    </row>
    <row r="196" spans="1:33" ht="20.100000000000001" customHeight="1">
      <c r="A196" s="217" t="str">
        <f>IF(D196&lt;&gt;"", ' 1A.Prop&amp;Residents'!$B$7, "")</f>
        <v/>
      </c>
      <c r="B196" s="217" t="str">
        <f t="shared" si="8"/>
        <v/>
      </c>
      <c r="C196" s="34">
        <v>182</v>
      </c>
      <c r="D196" s="153"/>
      <c r="E196" s="154"/>
      <c r="F196" s="1775"/>
      <c r="G196" s="155"/>
      <c r="H196" s="156"/>
      <c r="I196" s="154"/>
      <c r="J196" s="157"/>
      <c r="K196" s="156"/>
      <c r="L196" s="154"/>
      <c r="M196" s="609" t="str">
        <f>IF(L196="","",IF(E196="","",IF('1B.TransitionalProg'!$H$8&gt;0,"",VLOOKUP($E196,' 1A.Prop&amp;Residents'!$P$41:$R$47,2,FALSE))))</f>
        <v/>
      </c>
      <c r="N196" s="609" t="str">
        <f>IF(L196="","",IF(E196="","",IF('1B.TransitionalProg'!$H$8&gt;0,"",VLOOKUP($E196,' 1A.Prop&amp;Residents'!$P$41:$R$47,3,FALSE))))</f>
        <v/>
      </c>
      <c r="O196" s="610" t="str">
        <f>IF(L196="", "", IF(E196="", "", IF('1B.TransitionalProg'!$H$8&gt;0,"",IF(L196&lt;M196,"overHOUSED?",IF(L196&gt;N196, "OVERcrowded?","")))))</f>
        <v/>
      </c>
      <c r="P196" s="623"/>
      <c r="Q196" s="154"/>
      <c r="R196" s="154"/>
      <c r="S196" s="156"/>
      <c r="T196" s="156"/>
      <c r="U196" s="156"/>
      <c r="V196" s="156"/>
      <c r="W196" s="1580" t="str">
        <f t="shared" si="6"/>
        <v/>
      </c>
      <c r="X196" s="155"/>
      <c r="Y196" s="156"/>
      <c r="Z196" s="233" t="str">
        <f t="shared" si="7"/>
        <v/>
      </c>
      <c r="AA196" s="1447">
        <f>VLOOKUP($C196,'3B.Demographic'!$C$15:$N$414,6,FALSE)</f>
        <v>0</v>
      </c>
      <c r="AB196" s="1447">
        <f>VLOOKUP($C196,'3B.Demographic'!$C$15:$N$414,7,FALSE)</f>
        <v>0</v>
      </c>
      <c r="AC196" s="1447">
        <f>VLOOKUP($C196,'3B.Demographic'!$C$15:$N$414,8,FALSE)</f>
        <v>0</v>
      </c>
      <c r="AD196" s="1447">
        <f>VLOOKUP($C196,'3B.Demographic'!$C$15:$N$414,9,FALSE)</f>
        <v>0</v>
      </c>
      <c r="AE196" s="1447">
        <f>VLOOKUP($C196,'3B.Demographic'!$C$15:$N$414,10,FALSE)</f>
        <v>0</v>
      </c>
      <c r="AF196" s="1475">
        <f>VLOOKUP($C196,'3B.Demographic'!$C$15:$N$414,11,FALSE)</f>
        <v>0</v>
      </c>
      <c r="AG196" s="1229">
        <f>VLOOKUP($C196,'3B.Demographic'!$C$15:$N$414,12,FALSE)</f>
        <v>0</v>
      </c>
    </row>
    <row r="197" spans="1:33" ht="20.100000000000001" customHeight="1">
      <c r="A197" s="217" t="str">
        <f>IF(D197&lt;&gt;"", ' 1A.Prop&amp;Residents'!$B$7, "")</f>
        <v/>
      </c>
      <c r="B197" s="217" t="str">
        <f t="shared" si="8"/>
        <v/>
      </c>
      <c r="C197" s="34">
        <v>183</v>
      </c>
      <c r="D197" s="153"/>
      <c r="E197" s="154"/>
      <c r="F197" s="1775"/>
      <c r="G197" s="155"/>
      <c r="H197" s="156"/>
      <c r="I197" s="154"/>
      <c r="J197" s="157"/>
      <c r="K197" s="156"/>
      <c r="L197" s="154"/>
      <c r="M197" s="609" t="str">
        <f>IF(L197="","",IF(E197="","",IF('1B.TransitionalProg'!$H$8&gt;0,"",VLOOKUP($E197,' 1A.Prop&amp;Residents'!$P$41:$R$47,2,FALSE))))</f>
        <v/>
      </c>
      <c r="N197" s="609" t="str">
        <f>IF(L197="","",IF(E197="","",IF('1B.TransitionalProg'!$H$8&gt;0,"",VLOOKUP($E197,' 1A.Prop&amp;Residents'!$P$41:$R$47,3,FALSE))))</f>
        <v/>
      </c>
      <c r="O197" s="610" t="str">
        <f>IF(L197="", "", IF(E197="", "", IF('1B.TransitionalProg'!$H$8&gt;0,"",IF(L197&lt;M197,"overHOUSED?",IF(L197&gt;N197, "OVERcrowded?","")))))</f>
        <v/>
      </c>
      <c r="P197" s="623"/>
      <c r="Q197" s="154"/>
      <c r="R197" s="154"/>
      <c r="S197" s="156"/>
      <c r="T197" s="156"/>
      <c r="U197" s="156"/>
      <c r="V197" s="156"/>
      <c r="W197" s="1580" t="str">
        <f t="shared" si="6"/>
        <v/>
      </c>
      <c r="X197" s="155"/>
      <c r="Y197" s="156"/>
      <c r="Z197" s="233" t="str">
        <f t="shared" si="7"/>
        <v/>
      </c>
      <c r="AA197" s="1447">
        <f>VLOOKUP($C197,'3B.Demographic'!$C$15:$N$414,6,FALSE)</f>
        <v>0</v>
      </c>
      <c r="AB197" s="1447">
        <f>VLOOKUP($C197,'3B.Demographic'!$C$15:$N$414,7,FALSE)</f>
        <v>0</v>
      </c>
      <c r="AC197" s="1447">
        <f>VLOOKUP($C197,'3B.Demographic'!$C$15:$N$414,8,FALSE)</f>
        <v>0</v>
      </c>
      <c r="AD197" s="1447">
        <f>VLOOKUP($C197,'3B.Demographic'!$C$15:$N$414,9,FALSE)</f>
        <v>0</v>
      </c>
      <c r="AE197" s="1447">
        <f>VLOOKUP($C197,'3B.Demographic'!$C$15:$N$414,10,FALSE)</f>
        <v>0</v>
      </c>
      <c r="AF197" s="1475">
        <f>VLOOKUP($C197,'3B.Demographic'!$C$15:$N$414,11,FALSE)</f>
        <v>0</v>
      </c>
      <c r="AG197" s="1229">
        <f>VLOOKUP($C197,'3B.Demographic'!$C$15:$N$414,12,FALSE)</f>
        <v>0</v>
      </c>
    </row>
    <row r="198" spans="1:33" ht="20.100000000000001" customHeight="1">
      <c r="A198" s="217" t="str">
        <f>IF(D198&lt;&gt;"", ' 1A.Prop&amp;Residents'!$B$7, "")</f>
        <v/>
      </c>
      <c r="B198" s="217" t="str">
        <f t="shared" si="8"/>
        <v/>
      </c>
      <c r="C198" s="34">
        <v>184</v>
      </c>
      <c r="D198" s="153"/>
      <c r="E198" s="154"/>
      <c r="F198" s="1775"/>
      <c r="G198" s="155"/>
      <c r="H198" s="156"/>
      <c r="I198" s="154"/>
      <c r="J198" s="157"/>
      <c r="K198" s="156"/>
      <c r="L198" s="154"/>
      <c r="M198" s="609" t="str">
        <f>IF(L198="","",IF(E198="","",IF('1B.TransitionalProg'!$H$8&gt;0,"",VLOOKUP($E198,' 1A.Prop&amp;Residents'!$P$41:$R$47,2,FALSE))))</f>
        <v/>
      </c>
      <c r="N198" s="609" t="str">
        <f>IF(L198="","",IF(E198="","",IF('1B.TransitionalProg'!$H$8&gt;0,"",VLOOKUP($E198,' 1A.Prop&amp;Residents'!$P$41:$R$47,3,FALSE))))</f>
        <v/>
      </c>
      <c r="O198" s="610" t="str">
        <f>IF(L198="", "", IF(E198="", "", IF('1B.TransitionalProg'!$H$8&gt;0,"",IF(L198&lt;M198,"overHOUSED?",IF(L198&gt;N198, "OVERcrowded?","")))))</f>
        <v/>
      </c>
      <c r="P198" s="623"/>
      <c r="Q198" s="154"/>
      <c r="R198" s="154"/>
      <c r="S198" s="156"/>
      <c r="T198" s="156"/>
      <c r="U198" s="156"/>
      <c r="V198" s="156"/>
      <c r="W198" s="1580" t="str">
        <f t="shared" si="6"/>
        <v/>
      </c>
      <c r="X198" s="155"/>
      <c r="Y198" s="156"/>
      <c r="Z198" s="233" t="str">
        <f t="shared" si="7"/>
        <v/>
      </c>
      <c r="AA198" s="1447">
        <f>VLOOKUP($C198,'3B.Demographic'!$C$15:$N$414,6,FALSE)</f>
        <v>0</v>
      </c>
      <c r="AB198" s="1447">
        <f>VLOOKUP($C198,'3B.Demographic'!$C$15:$N$414,7,FALSE)</f>
        <v>0</v>
      </c>
      <c r="AC198" s="1447">
        <f>VLOOKUP($C198,'3B.Demographic'!$C$15:$N$414,8,FALSE)</f>
        <v>0</v>
      </c>
      <c r="AD198" s="1447">
        <f>VLOOKUP($C198,'3B.Demographic'!$C$15:$N$414,9,FALSE)</f>
        <v>0</v>
      </c>
      <c r="AE198" s="1447">
        <f>VLOOKUP($C198,'3B.Demographic'!$C$15:$N$414,10,FALSE)</f>
        <v>0</v>
      </c>
      <c r="AF198" s="1475">
        <f>VLOOKUP($C198,'3B.Demographic'!$C$15:$N$414,11,FALSE)</f>
        <v>0</v>
      </c>
      <c r="AG198" s="1229">
        <f>VLOOKUP($C198,'3B.Demographic'!$C$15:$N$414,12,FALSE)</f>
        <v>0</v>
      </c>
    </row>
    <row r="199" spans="1:33" ht="20.100000000000001" customHeight="1">
      <c r="A199" s="217" t="str">
        <f>IF(D199&lt;&gt;"", ' 1A.Prop&amp;Residents'!$B$7, "")</f>
        <v/>
      </c>
      <c r="B199" s="217" t="str">
        <f t="shared" si="8"/>
        <v/>
      </c>
      <c r="C199" s="34">
        <v>185</v>
      </c>
      <c r="D199" s="153"/>
      <c r="E199" s="154"/>
      <c r="F199" s="1775"/>
      <c r="G199" s="155"/>
      <c r="H199" s="156"/>
      <c r="I199" s="154"/>
      <c r="J199" s="157"/>
      <c r="K199" s="156"/>
      <c r="L199" s="154"/>
      <c r="M199" s="609" t="str">
        <f>IF(L199="","",IF(E199="","",IF('1B.TransitionalProg'!$H$8&gt;0,"",VLOOKUP($E199,' 1A.Prop&amp;Residents'!$P$41:$R$47,2,FALSE))))</f>
        <v/>
      </c>
      <c r="N199" s="609" t="str">
        <f>IF(L199="","",IF(E199="","",IF('1B.TransitionalProg'!$H$8&gt;0,"",VLOOKUP($E199,' 1A.Prop&amp;Residents'!$P$41:$R$47,3,FALSE))))</f>
        <v/>
      </c>
      <c r="O199" s="610" t="str">
        <f>IF(L199="", "", IF(E199="", "", IF('1B.TransitionalProg'!$H$8&gt;0,"",IF(L199&lt;M199,"overHOUSED?",IF(L199&gt;N199, "OVERcrowded?","")))))</f>
        <v/>
      </c>
      <c r="P199" s="623"/>
      <c r="Q199" s="154"/>
      <c r="R199" s="154"/>
      <c r="S199" s="156"/>
      <c r="T199" s="156"/>
      <c r="U199" s="156"/>
      <c r="V199" s="156"/>
      <c r="W199" s="1580" t="str">
        <f t="shared" si="6"/>
        <v/>
      </c>
      <c r="X199" s="155"/>
      <c r="Y199" s="156"/>
      <c r="Z199" s="233" t="str">
        <f t="shared" si="7"/>
        <v/>
      </c>
      <c r="AA199" s="1447">
        <f>VLOOKUP($C199,'3B.Demographic'!$C$15:$N$414,6,FALSE)</f>
        <v>0</v>
      </c>
      <c r="AB199" s="1447">
        <f>VLOOKUP($C199,'3B.Demographic'!$C$15:$N$414,7,FALSE)</f>
        <v>0</v>
      </c>
      <c r="AC199" s="1447">
        <f>VLOOKUP($C199,'3B.Demographic'!$C$15:$N$414,8,FALSE)</f>
        <v>0</v>
      </c>
      <c r="AD199" s="1447">
        <f>VLOOKUP($C199,'3B.Demographic'!$C$15:$N$414,9,FALSE)</f>
        <v>0</v>
      </c>
      <c r="AE199" s="1447">
        <f>VLOOKUP($C199,'3B.Demographic'!$C$15:$N$414,10,FALSE)</f>
        <v>0</v>
      </c>
      <c r="AF199" s="1475">
        <f>VLOOKUP($C199,'3B.Demographic'!$C$15:$N$414,11,FALSE)</f>
        <v>0</v>
      </c>
      <c r="AG199" s="1229">
        <f>VLOOKUP($C199,'3B.Demographic'!$C$15:$N$414,12,FALSE)</f>
        <v>0</v>
      </c>
    </row>
    <row r="200" spans="1:33" ht="20.100000000000001" customHeight="1">
      <c r="A200" s="217" t="str">
        <f>IF(D200&lt;&gt;"", ' 1A.Prop&amp;Residents'!$B$7, "")</f>
        <v/>
      </c>
      <c r="B200" s="217" t="str">
        <f t="shared" si="8"/>
        <v/>
      </c>
      <c r="C200" s="34">
        <v>186</v>
      </c>
      <c r="D200" s="153"/>
      <c r="E200" s="154"/>
      <c r="F200" s="1775"/>
      <c r="G200" s="155"/>
      <c r="H200" s="156"/>
      <c r="I200" s="154"/>
      <c r="J200" s="157"/>
      <c r="K200" s="156"/>
      <c r="L200" s="154"/>
      <c r="M200" s="609" t="str">
        <f>IF(L200="","",IF(E200="","",IF('1B.TransitionalProg'!$H$8&gt;0,"",VLOOKUP($E200,' 1A.Prop&amp;Residents'!$P$41:$R$47,2,FALSE))))</f>
        <v/>
      </c>
      <c r="N200" s="609" t="str">
        <f>IF(L200="","",IF(E200="","",IF('1B.TransitionalProg'!$H$8&gt;0,"",VLOOKUP($E200,' 1A.Prop&amp;Residents'!$P$41:$R$47,3,FALSE))))</f>
        <v/>
      </c>
      <c r="O200" s="610" t="str">
        <f>IF(L200="", "", IF(E200="", "", IF('1B.TransitionalProg'!$H$8&gt;0,"",IF(L200&lt;M200,"overHOUSED?",IF(L200&gt;N200, "OVERcrowded?","")))))</f>
        <v/>
      </c>
      <c r="P200" s="623"/>
      <c r="Q200" s="154"/>
      <c r="R200" s="154"/>
      <c r="S200" s="156"/>
      <c r="T200" s="156"/>
      <c r="U200" s="156"/>
      <c r="V200" s="156"/>
      <c r="W200" s="1580" t="str">
        <f t="shared" si="6"/>
        <v/>
      </c>
      <c r="X200" s="155"/>
      <c r="Y200" s="156"/>
      <c r="Z200" s="233" t="str">
        <f t="shared" si="7"/>
        <v/>
      </c>
      <c r="AA200" s="1447">
        <f>VLOOKUP($C200,'3B.Demographic'!$C$15:$N$414,6,FALSE)</f>
        <v>0</v>
      </c>
      <c r="AB200" s="1447">
        <f>VLOOKUP($C200,'3B.Demographic'!$C$15:$N$414,7,FALSE)</f>
        <v>0</v>
      </c>
      <c r="AC200" s="1447">
        <f>VLOOKUP($C200,'3B.Demographic'!$C$15:$N$414,8,FALSE)</f>
        <v>0</v>
      </c>
      <c r="AD200" s="1447">
        <f>VLOOKUP($C200,'3B.Demographic'!$C$15:$N$414,9,FALSE)</f>
        <v>0</v>
      </c>
      <c r="AE200" s="1447">
        <f>VLOOKUP($C200,'3B.Demographic'!$C$15:$N$414,10,FALSE)</f>
        <v>0</v>
      </c>
      <c r="AF200" s="1475">
        <f>VLOOKUP($C200,'3B.Demographic'!$C$15:$N$414,11,FALSE)</f>
        <v>0</v>
      </c>
      <c r="AG200" s="1229">
        <f>VLOOKUP($C200,'3B.Demographic'!$C$15:$N$414,12,FALSE)</f>
        <v>0</v>
      </c>
    </row>
    <row r="201" spans="1:33" ht="20.100000000000001" customHeight="1">
      <c r="A201" s="217" t="str">
        <f>IF(D201&lt;&gt;"", ' 1A.Prop&amp;Residents'!$B$7, "")</f>
        <v/>
      </c>
      <c r="B201" s="217" t="str">
        <f t="shared" si="8"/>
        <v/>
      </c>
      <c r="C201" s="34">
        <v>187</v>
      </c>
      <c r="D201" s="153"/>
      <c r="E201" s="154"/>
      <c r="F201" s="1775"/>
      <c r="G201" s="155"/>
      <c r="H201" s="156"/>
      <c r="I201" s="154"/>
      <c r="J201" s="157"/>
      <c r="K201" s="156"/>
      <c r="L201" s="154"/>
      <c r="M201" s="609" t="str">
        <f>IF(L201="","",IF(E201="","",IF('1B.TransitionalProg'!$H$8&gt;0,"",VLOOKUP($E201,' 1A.Prop&amp;Residents'!$P$41:$R$47,2,FALSE))))</f>
        <v/>
      </c>
      <c r="N201" s="609" t="str">
        <f>IF(L201="","",IF(E201="","",IF('1B.TransitionalProg'!$H$8&gt;0,"",VLOOKUP($E201,' 1A.Prop&amp;Residents'!$P$41:$R$47,3,FALSE))))</f>
        <v/>
      </c>
      <c r="O201" s="610" t="str">
        <f>IF(L201="", "", IF(E201="", "", IF('1B.TransitionalProg'!$H$8&gt;0,"",IF(L201&lt;M201,"overHOUSED?",IF(L201&gt;N201, "OVERcrowded?","")))))</f>
        <v/>
      </c>
      <c r="P201" s="623"/>
      <c r="Q201" s="154"/>
      <c r="R201" s="154"/>
      <c r="S201" s="156"/>
      <c r="T201" s="156"/>
      <c r="U201" s="156"/>
      <c r="V201" s="156"/>
      <c r="W201" s="1580" t="str">
        <f t="shared" si="6"/>
        <v/>
      </c>
      <c r="X201" s="155"/>
      <c r="Y201" s="156"/>
      <c r="Z201" s="233" t="str">
        <f t="shared" si="7"/>
        <v/>
      </c>
      <c r="AA201" s="1447">
        <f>VLOOKUP($C201,'3B.Demographic'!$C$15:$N$414,6,FALSE)</f>
        <v>0</v>
      </c>
      <c r="AB201" s="1447">
        <f>VLOOKUP($C201,'3B.Demographic'!$C$15:$N$414,7,FALSE)</f>
        <v>0</v>
      </c>
      <c r="AC201" s="1447">
        <f>VLOOKUP($C201,'3B.Demographic'!$C$15:$N$414,8,FALSE)</f>
        <v>0</v>
      </c>
      <c r="AD201" s="1447">
        <f>VLOOKUP($C201,'3B.Demographic'!$C$15:$N$414,9,FALSE)</f>
        <v>0</v>
      </c>
      <c r="AE201" s="1447">
        <f>VLOOKUP($C201,'3B.Demographic'!$C$15:$N$414,10,FALSE)</f>
        <v>0</v>
      </c>
      <c r="AF201" s="1475">
        <f>VLOOKUP($C201,'3B.Demographic'!$C$15:$N$414,11,FALSE)</f>
        <v>0</v>
      </c>
      <c r="AG201" s="1229">
        <f>VLOOKUP($C201,'3B.Demographic'!$C$15:$N$414,12,FALSE)</f>
        <v>0</v>
      </c>
    </row>
    <row r="202" spans="1:33" ht="20.100000000000001" customHeight="1">
      <c r="A202" s="217" t="str">
        <f>IF(D202&lt;&gt;"", ' 1A.Prop&amp;Residents'!$B$7, "")</f>
        <v/>
      </c>
      <c r="B202" s="217" t="str">
        <f t="shared" si="8"/>
        <v/>
      </c>
      <c r="C202" s="34">
        <v>188</v>
      </c>
      <c r="D202" s="153"/>
      <c r="E202" s="154"/>
      <c r="F202" s="1775"/>
      <c r="G202" s="155"/>
      <c r="H202" s="156"/>
      <c r="I202" s="154"/>
      <c r="J202" s="157"/>
      <c r="K202" s="156"/>
      <c r="L202" s="154"/>
      <c r="M202" s="609" t="str">
        <f>IF(L202="","",IF(E202="","",IF('1B.TransitionalProg'!$H$8&gt;0,"",VLOOKUP($E202,' 1A.Prop&amp;Residents'!$P$41:$R$47,2,FALSE))))</f>
        <v/>
      </c>
      <c r="N202" s="609" t="str">
        <f>IF(L202="","",IF(E202="","",IF('1B.TransitionalProg'!$H$8&gt;0,"",VLOOKUP($E202,' 1A.Prop&amp;Residents'!$P$41:$R$47,3,FALSE))))</f>
        <v/>
      </c>
      <c r="O202" s="610" t="str">
        <f>IF(L202="", "", IF(E202="", "", IF('1B.TransitionalProg'!$H$8&gt;0,"",IF(L202&lt;M202,"overHOUSED?",IF(L202&gt;N202, "OVERcrowded?","")))))</f>
        <v/>
      </c>
      <c r="P202" s="623"/>
      <c r="Q202" s="154"/>
      <c r="R202" s="154"/>
      <c r="S202" s="156"/>
      <c r="T202" s="156"/>
      <c r="U202" s="156"/>
      <c r="V202" s="156"/>
      <c r="W202" s="1580" t="str">
        <f t="shared" si="6"/>
        <v/>
      </c>
      <c r="X202" s="155"/>
      <c r="Y202" s="156"/>
      <c r="Z202" s="233" t="str">
        <f t="shared" si="7"/>
        <v/>
      </c>
      <c r="AA202" s="1447">
        <f>VLOOKUP($C202,'3B.Demographic'!$C$15:$N$414,6,FALSE)</f>
        <v>0</v>
      </c>
      <c r="AB202" s="1447">
        <f>VLOOKUP($C202,'3B.Demographic'!$C$15:$N$414,7,FALSE)</f>
        <v>0</v>
      </c>
      <c r="AC202" s="1447">
        <f>VLOOKUP($C202,'3B.Demographic'!$C$15:$N$414,8,FALSE)</f>
        <v>0</v>
      </c>
      <c r="AD202" s="1447">
        <f>VLOOKUP($C202,'3B.Demographic'!$C$15:$N$414,9,FALSE)</f>
        <v>0</v>
      </c>
      <c r="AE202" s="1447">
        <f>VLOOKUP($C202,'3B.Demographic'!$C$15:$N$414,10,FALSE)</f>
        <v>0</v>
      </c>
      <c r="AF202" s="1475">
        <f>VLOOKUP($C202,'3B.Demographic'!$C$15:$N$414,11,FALSE)</f>
        <v>0</v>
      </c>
      <c r="AG202" s="1229">
        <f>VLOOKUP($C202,'3B.Demographic'!$C$15:$N$414,12,FALSE)</f>
        <v>0</v>
      </c>
    </row>
    <row r="203" spans="1:33" ht="20.100000000000001" customHeight="1">
      <c r="A203" s="217" t="str">
        <f>IF(D203&lt;&gt;"", ' 1A.Prop&amp;Residents'!$B$7, "")</f>
        <v/>
      </c>
      <c r="B203" s="217" t="str">
        <f t="shared" si="8"/>
        <v/>
      </c>
      <c r="C203" s="34">
        <v>189</v>
      </c>
      <c r="D203" s="153"/>
      <c r="E203" s="154"/>
      <c r="F203" s="1775"/>
      <c r="G203" s="155"/>
      <c r="H203" s="156"/>
      <c r="I203" s="154"/>
      <c r="J203" s="157"/>
      <c r="K203" s="156"/>
      <c r="L203" s="154"/>
      <c r="M203" s="609" t="str">
        <f>IF(L203="","",IF(E203="","",IF('1B.TransitionalProg'!$H$8&gt;0,"",VLOOKUP($E203,' 1A.Prop&amp;Residents'!$P$41:$R$47,2,FALSE))))</f>
        <v/>
      </c>
      <c r="N203" s="609" t="str">
        <f>IF(L203="","",IF(E203="","",IF('1B.TransitionalProg'!$H$8&gt;0,"",VLOOKUP($E203,' 1A.Prop&amp;Residents'!$P$41:$R$47,3,FALSE))))</f>
        <v/>
      </c>
      <c r="O203" s="610" t="str">
        <f>IF(L203="", "", IF(E203="", "", IF('1B.TransitionalProg'!$H$8&gt;0,"",IF(L203&lt;M203,"overHOUSED?",IF(L203&gt;N203, "OVERcrowded?","")))))</f>
        <v/>
      </c>
      <c r="P203" s="623"/>
      <c r="Q203" s="154"/>
      <c r="R203" s="154"/>
      <c r="S203" s="156"/>
      <c r="T203" s="156"/>
      <c r="U203" s="156"/>
      <c r="V203" s="156"/>
      <c r="W203" s="1580" t="str">
        <f t="shared" si="6"/>
        <v/>
      </c>
      <c r="X203" s="155"/>
      <c r="Y203" s="156"/>
      <c r="Z203" s="233" t="str">
        <f t="shared" si="7"/>
        <v/>
      </c>
      <c r="AA203" s="1447">
        <f>VLOOKUP($C203,'3B.Demographic'!$C$15:$N$414,6,FALSE)</f>
        <v>0</v>
      </c>
      <c r="AB203" s="1447">
        <f>VLOOKUP($C203,'3B.Demographic'!$C$15:$N$414,7,FALSE)</f>
        <v>0</v>
      </c>
      <c r="AC203" s="1447">
        <f>VLOOKUP($C203,'3B.Demographic'!$C$15:$N$414,8,FALSE)</f>
        <v>0</v>
      </c>
      <c r="AD203" s="1447">
        <f>VLOOKUP($C203,'3B.Demographic'!$C$15:$N$414,9,FALSE)</f>
        <v>0</v>
      </c>
      <c r="AE203" s="1447">
        <f>VLOOKUP($C203,'3B.Demographic'!$C$15:$N$414,10,FALSE)</f>
        <v>0</v>
      </c>
      <c r="AF203" s="1475">
        <f>VLOOKUP($C203,'3B.Demographic'!$C$15:$N$414,11,FALSE)</f>
        <v>0</v>
      </c>
      <c r="AG203" s="1229">
        <f>VLOOKUP($C203,'3B.Demographic'!$C$15:$N$414,12,FALSE)</f>
        <v>0</v>
      </c>
    </row>
    <row r="204" spans="1:33" ht="20.100000000000001" customHeight="1">
      <c r="A204" s="217" t="str">
        <f>IF(D204&lt;&gt;"", ' 1A.Prop&amp;Residents'!$B$7, "")</f>
        <v/>
      </c>
      <c r="B204" s="217" t="str">
        <f t="shared" si="8"/>
        <v/>
      </c>
      <c r="C204" s="34">
        <v>190</v>
      </c>
      <c r="D204" s="153"/>
      <c r="E204" s="154"/>
      <c r="F204" s="1775"/>
      <c r="G204" s="155"/>
      <c r="H204" s="156"/>
      <c r="I204" s="154"/>
      <c r="J204" s="157"/>
      <c r="K204" s="156"/>
      <c r="L204" s="154"/>
      <c r="M204" s="609" t="str">
        <f>IF(L204="","",IF(E204="","",IF('1B.TransitionalProg'!$H$8&gt;0,"",VLOOKUP($E204,' 1A.Prop&amp;Residents'!$P$41:$R$47,2,FALSE))))</f>
        <v/>
      </c>
      <c r="N204" s="609" t="str">
        <f>IF(L204="","",IF(E204="","",IF('1B.TransitionalProg'!$H$8&gt;0,"",VLOOKUP($E204,' 1A.Prop&amp;Residents'!$P$41:$R$47,3,FALSE))))</f>
        <v/>
      </c>
      <c r="O204" s="610" t="str">
        <f>IF(L204="", "", IF(E204="", "", IF('1B.TransitionalProg'!$H$8&gt;0,"",IF(L204&lt;M204,"overHOUSED?",IF(L204&gt;N204, "OVERcrowded?","")))))</f>
        <v/>
      </c>
      <c r="P204" s="623"/>
      <c r="Q204" s="154"/>
      <c r="R204" s="154"/>
      <c r="S204" s="156"/>
      <c r="T204" s="156"/>
      <c r="U204" s="156"/>
      <c r="V204" s="156"/>
      <c r="W204" s="1580" t="str">
        <f t="shared" si="6"/>
        <v/>
      </c>
      <c r="X204" s="155"/>
      <c r="Y204" s="156"/>
      <c r="Z204" s="233" t="str">
        <f t="shared" si="7"/>
        <v/>
      </c>
      <c r="AA204" s="1447">
        <f>VLOOKUP($C204,'3B.Demographic'!$C$15:$N$414,6,FALSE)</f>
        <v>0</v>
      </c>
      <c r="AB204" s="1447">
        <f>VLOOKUP($C204,'3B.Demographic'!$C$15:$N$414,7,FALSE)</f>
        <v>0</v>
      </c>
      <c r="AC204" s="1447">
        <f>VLOOKUP($C204,'3B.Demographic'!$C$15:$N$414,8,FALSE)</f>
        <v>0</v>
      </c>
      <c r="AD204" s="1447">
        <f>VLOOKUP($C204,'3B.Demographic'!$C$15:$N$414,9,FALSE)</f>
        <v>0</v>
      </c>
      <c r="AE204" s="1447">
        <f>VLOOKUP($C204,'3B.Demographic'!$C$15:$N$414,10,FALSE)</f>
        <v>0</v>
      </c>
      <c r="AF204" s="1475">
        <f>VLOOKUP($C204,'3B.Demographic'!$C$15:$N$414,11,FALSE)</f>
        <v>0</v>
      </c>
      <c r="AG204" s="1229">
        <f>VLOOKUP($C204,'3B.Demographic'!$C$15:$N$414,12,FALSE)</f>
        <v>0</v>
      </c>
    </row>
    <row r="205" spans="1:33" ht="20.100000000000001" customHeight="1">
      <c r="A205" s="217" t="str">
        <f>IF(D205&lt;&gt;"", ' 1A.Prop&amp;Residents'!$B$7, "")</f>
        <v/>
      </c>
      <c r="B205" s="217" t="str">
        <f t="shared" si="8"/>
        <v/>
      </c>
      <c r="C205" s="34">
        <v>191</v>
      </c>
      <c r="D205" s="153"/>
      <c r="E205" s="154"/>
      <c r="F205" s="1775"/>
      <c r="G205" s="155"/>
      <c r="H205" s="156"/>
      <c r="I205" s="154"/>
      <c r="J205" s="157"/>
      <c r="K205" s="156"/>
      <c r="L205" s="154"/>
      <c r="M205" s="609" t="str">
        <f>IF(L205="","",IF(E205="","",IF('1B.TransitionalProg'!$H$8&gt;0,"",VLOOKUP($E205,' 1A.Prop&amp;Residents'!$P$41:$R$47,2,FALSE))))</f>
        <v/>
      </c>
      <c r="N205" s="609" t="str">
        <f>IF(L205="","",IF(E205="","",IF('1B.TransitionalProg'!$H$8&gt;0,"",VLOOKUP($E205,' 1A.Prop&amp;Residents'!$P$41:$R$47,3,FALSE))))</f>
        <v/>
      </c>
      <c r="O205" s="610" t="str">
        <f>IF(L205="", "", IF(E205="", "", IF('1B.TransitionalProg'!$H$8&gt;0,"",IF(L205&lt;M205,"overHOUSED?",IF(L205&gt;N205, "OVERcrowded?","")))))</f>
        <v/>
      </c>
      <c r="P205" s="623"/>
      <c r="Q205" s="154"/>
      <c r="R205" s="154"/>
      <c r="S205" s="156"/>
      <c r="T205" s="156"/>
      <c r="U205" s="156"/>
      <c r="V205" s="156"/>
      <c r="W205" s="1580" t="str">
        <f t="shared" si="6"/>
        <v/>
      </c>
      <c r="X205" s="155"/>
      <c r="Y205" s="156"/>
      <c r="Z205" s="233" t="str">
        <f t="shared" si="7"/>
        <v/>
      </c>
      <c r="AA205" s="1447">
        <f>VLOOKUP($C205,'3B.Demographic'!$C$15:$N$414,6,FALSE)</f>
        <v>0</v>
      </c>
      <c r="AB205" s="1447">
        <f>VLOOKUP($C205,'3B.Demographic'!$C$15:$N$414,7,FALSE)</f>
        <v>0</v>
      </c>
      <c r="AC205" s="1447">
        <f>VLOOKUP($C205,'3B.Demographic'!$C$15:$N$414,8,FALSE)</f>
        <v>0</v>
      </c>
      <c r="AD205" s="1447">
        <f>VLOOKUP($C205,'3B.Demographic'!$C$15:$N$414,9,FALSE)</f>
        <v>0</v>
      </c>
      <c r="AE205" s="1447">
        <f>VLOOKUP($C205,'3B.Demographic'!$C$15:$N$414,10,FALSE)</f>
        <v>0</v>
      </c>
      <c r="AF205" s="1475">
        <f>VLOOKUP($C205,'3B.Demographic'!$C$15:$N$414,11,FALSE)</f>
        <v>0</v>
      </c>
      <c r="AG205" s="1229">
        <f>VLOOKUP($C205,'3B.Demographic'!$C$15:$N$414,12,FALSE)</f>
        <v>0</v>
      </c>
    </row>
    <row r="206" spans="1:33" ht="20.100000000000001" customHeight="1">
      <c r="A206" s="217" t="str">
        <f>IF(D206&lt;&gt;"", ' 1A.Prop&amp;Residents'!$B$7, "")</f>
        <v/>
      </c>
      <c r="B206" s="217" t="str">
        <f t="shared" si="8"/>
        <v/>
      </c>
      <c r="C206" s="34">
        <v>192</v>
      </c>
      <c r="D206" s="153"/>
      <c r="E206" s="154"/>
      <c r="F206" s="1775"/>
      <c r="G206" s="155"/>
      <c r="H206" s="156"/>
      <c r="I206" s="154"/>
      <c r="J206" s="157"/>
      <c r="K206" s="156"/>
      <c r="L206" s="154"/>
      <c r="M206" s="609" t="str">
        <f>IF(L206="","",IF(E206="","",IF('1B.TransitionalProg'!$H$8&gt;0,"",VLOOKUP($E206,' 1A.Prop&amp;Residents'!$P$41:$R$47,2,FALSE))))</f>
        <v/>
      </c>
      <c r="N206" s="609" t="str">
        <f>IF(L206="","",IF(E206="","",IF('1B.TransitionalProg'!$H$8&gt;0,"",VLOOKUP($E206,' 1A.Prop&amp;Residents'!$P$41:$R$47,3,FALSE))))</f>
        <v/>
      </c>
      <c r="O206" s="610" t="str">
        <f>IF(L206="", "", IF(E206="", "", IF('1B.TransitionalProg'!$H$8&gt;0,"",IF(L206&lt;M206,"overHOUSED?",IF(L206&gt;N206, "OVERcrowded?","")))))</f>
        <v/>
      </c>
      <c r="P206" s="623"/>
      <c r="Q206" s="154"/>
      <c r="R206" s="154"/>
      <c r="S206" s="156"/>
      <c r="T206" s="156"/>
      <c r="U206" s="156"/>
      <c r="V206" s="156"/>
      <c r="W206" s="1580" t="str">
        <f t="shared" si="6"/>
        <v/>
      </c>
      <c r="X206" s="155"/>
      <c r="Y206" s="156"/>
      <c r="Z206" s="233" t="str">
        <f t="shared" si="7"/>
        <v/>
      </c>
      <c r="AA206" s="1447">
        <f>VLOOKUP($C206,'3B.Demographic'!$C$15:$N$414,6,FALSE)</f>
        <v>0</v>
      </c>
      <c r="AB206" s="1447">
        <f>VLOOKUP($C206,'3B.Demographic'!$C$15:$N$414,7,FALSE)</f>
        <v>0</v>
      </c>
      <c r="AC206" s="1447">
        <f>VLOOKUP($C206,'3B.Demographic'!$C$15:$N$414,8,FALSE)</f>
        <v>0</v>
      </c>
      <c r="AD206" s="1447">
        <f>VLOOKUP($C206,'3B.Demographic'!$C$15:$N$414,9,FALSE)</f>
        <v>0</v>
      </c>
      <c r="AE206" s="1447">
        <f>VLOOKUP($C206,'3B.Demographic'!$C$15:$N$414,10,FALSE)</f>
        <v>0</v>
      </c>
      <c r="AF206" s="1475">
        <f>VLOOKUP($C206,'3B.Demographic'!$C$15:$N$414,11,FALSE)</f>
        <v>0</v>
      </c>
      <c r="AG206" s="1229">
        <f>VLOOKUP($C206,'3B.Demographic'!$C$15:$N$414,12,FALSE)</f>
        <v>0</v>
      </c>
    </row>
    <row r="207" spans="1:33" ht="20.100000000000001" customHeight="1">
      <c r="A207" s="217" t="str">
        <f>IF(D207&lt;&gt;"", ' 1A.Prop&amp;Residents'!$B$7, "")</f>
        <v/>
      </c>
      <c r="B207" s="217" t="str">
        <f t="shared" si="8"/>
        <v/>
      </c>
      <c r="C207" s="34">
        <v>193</v>
      </c>
      <c r="D207" s="153"/>
      <c r="E207" s="154"/>
      <c r="F207" s="1775"/>
      <c r="G207" s="155"/>
      <c r="H207" s="156"/>
      <c r="I207" s="154"/>
      <c r="J207" s="157"/>
      <c r="K207" s="156"/>
      <c r="L207" s="154"/>
      <c r="M207" s="609" t="str">
        <f>IF(L207="","",IF(E207="","",IF('1B.TransitionalProg'!$H$8&gt;0,"",VLOOKUP($E207,' 1A.Prop&amp;Residents'!$P$41:$R$47,2,FALSE))))</f>
        <v/>
      </c>
      <c r="N207" s="609" t="str">
        <f>IF(L207="","",IF(E207="","",IF('1B.TransitionalProg'!$H$8&gt;0,"",VLOOKUP($E207,' 1A.Prop&amp;Residents'!$P$41:$R$47,3,FALSE))))</f>
        <v/>
      </c>
      <c r="O207" s="610" t="str">
        <f>IF(L207="", "", IF(E207="", "", IF('1B.TransitionalProg'!$H$8&gt;0,"",IF(L207&lt;M207,"overHOUSED?",IF(L207&gt;N207, "OVERcrowded?","")))))</f>
        <v/>
      </c>
      <c r="P207" s="623"/>
      <c r="Q207" s="154"/>
      <c r="R207" s="154"/>
      <c r="S207" s="156"/>
      <c r="T207" s="156"/>
      <c r="U207" s="156"/>
      <c r="V207" s="156"/>
      <c r="W207" s="1580" t="str">
        <f t="shared" si="6"/>
        <v/>
      </c>
      <c r="X207" s="155"/>
      <c r="Y207" s="156"/>
      <c r="Z207" s="233" t="str">
        <f t="shared" si="7"/>
        <v/>
      </c>
      <c r="AA207" s="1447">
        <f>VLOOKUP($C207,'3B.Demographic'!$C$15:$N$414,6,FALSE)</f>
        <v>0</v>
      </c>
      <c r="AB207" s="1447">
        <f>VLOOKUP($C207,'3B.Demographic'!$C$15:$N$414,7,FALSE)</f>
        <v>0</v>
      </c>
      <c r="AC207" s="1447">
        <f>VLOOKUP($C207,'3B.Demographic'!$C$15:$N$414,8,FALSE)</f>
        <v>0</v>
      </c>
      <c r="AD207" s="1447">
        <f>VLOOKUP($C207,'3B.Demographic'!$C$15:$N$414,9,FALSE)</f>
        <v>0</v>
      </c>
      <c r="AE207" s="1447">
        <f>VLOOKUP($C207,'3B.Demographic'!$C$15:$N$414,10,FALSE)</f>
        <v>0</v>
      </c>
      <c r="AF207" s="1475">
        <f>VLOOKUP($C207,'3B.Demographic'!$C$15:$N$414,11,FALSE)</f>
        <v>0</v>
      </c>
      <c r="AG207" s="1229">
        <f>VLOOKUP($C207,'3B.Demographic'!$C$15:$N$414,12,FALSE)</f>
        <v>0</v>
      </c>
    </row>
    <row r="208" spans="1:33" ht="20.100000000000001" customHeight="1">
      <c r="A208" s="217" t="str">
        <f>IF(D208&lt;&gt;"", ' 1A.Prop&amp;Residents'!$B$7, "")</f>
        <v/>
      </c>
      <c r="B208" s="217" t="str">
        <f t="shared" si="8"/>
        <v/>
      </c>
      <c r="C208" s="34">
        <v>194</v>
      </c>
      <c r="D208" s="153"/>
      <c r="E208" s="154"/>
      <c r="F208" s="1775"/>
      <c r="G208" s="155"/>
      <c r="H208" s="156"/>
      <c r="I208" s="154"/>
      <c r="J208" s="157"/>
      <c r="K208" s="156"/>
      <c r="L208" s="154"/>
      <c r="M208" s="609" t="str">
        <f>IF(L208="","",IF(E208="","",IF('1B.TransitionalProg'!$H$8&gt;0,"",VLOOKUP($E208,' 1A.Prop&amp;Residents'!$P$41:$R$47,2,FALSE))))</f>
        <v/>
      </c>
      <c r="N208" s="609" t="str">
        <f>IF(L208="","",IF(E208="","",IF('1B.TransitionalProg'!$H$8&gt;0,"",VLOOKUP($E208,' 1A.Prop&amp;Residents'!$P$41:$R$47,3,FALSE))))</f>
        <v/>
      </c>
      <c r="O208" s="610" t="str">
        <f>IF(L208="", "", IF(E208="", "", IF('1B.TransitionalProg'!$H$8&gt;0,"",IF(L208&lt;M208,"overHOUSED?",IF(L208&gt;N208, "OVERcrowded?","")))))</f>
        <v/>
      </c>
      <c r="P208" s="623"/>
      <c r="Q208" s="154"/>
      <c r="R208" s="154"/>
      <c r="S208" s="156"/>
      <c r="T208" s="156"/>
      <c r="U208" s="156"/>
      <c r="V208" s="156"/>
      <c r="W208" s="1580" t="str">
        <f t="shared" ref="W208:W271" si="9">IF(U208&gt;0, IF(K208&gt;0, (U208+V208)*12/K208, ""),"")</f>
        <v/>
      </c>
      <c r="X208" s="155"/>
      <c r="Y208" s="156"/>
      <c r="Z208" s="233" t="str">
        <f t="shared" ref="Z208:Z271" si="10">IF(Y208="", "", IF(U208-Y208=0,"",IF(V208&gt;0,  Y208/(U208+V208-Y208),Y208/(U208-Y208))))</f>
        <v/>
      </c>
      <c r="AA208" s="1447">
        <f>VLOOKUP($C208,'3B.Demographic'!$C$15:$N$414,6,FALSE)</f>
        <v>0</v>
      </c>
      <c r="AB208" s="1447">
        <f>VLOOKUP($C208,'3B.Demographic'!$C$15:$N$414,7,FALSE)</f>
        <v>0</v>
      </c>
      <c r="AC208" s="1447">
        <f>VLOOKUP($C208,'3B.Demographic'!$C$15:$N$414,8,FALSE)</f>
        <v>0</v>
      </c>
      <c r="AD208" s="1447">
        <f>VLOOKUP($C208,'3B.Demographic'!$C$15:$N$414,9,FALSE)</f>
        <v>0</v>
      </c>
      <c r="AE208" s="1447">
        <f>VLOOKUP($C208,'3B.Demographic'!$C$15:$N$414,10,FALSE)</f>
        <v>0</v>
      </c>
      <c r="AF208" s="1475">
        <f>VLOOKUP($C208,'3B.Demographic'!$C$15:$N$414,11,FALSE)</f>
        <v>0</v>
      </c>
      <c r="AG208" s="1229">
        <f>VLOOKUP($C208,'3B.Demographic'!$C$15:$N$414,12,FALSE)</f>
        <v>0</v>
      </c>
    </row>
    <row r="209" spans="1:33" ht="20.100000000000001" customHeight="1">
      <c r="A209" s="217" t="str">
        <f>IF(D209&lt;&gt;"", ' 1A.Prop&amp;Residents'!$B$7, "")</f>
        <v/>
      </c>
      <c r="B209" s="217" t="str">
        <f t="shared" ref="B209:B272" si="11">IF(D209&lt;&gt;"", B$15, "")</f>
        <v/>
      </c>
      <c r="C209" s="34">
        <v>195</v>
      </c>
      <c r="D209" s="153"/>
      <c r="E209" s="154"/>
      <c r="F209" s="1775"/>
      <c r="G209" s="155"/>
      <c r="H209" s="156"/>
      <c r="I209" s="154"/>
      <c r="J209" s="157"/>
      <c r="K209" s="156"/>
      <c r="L209" s="154"/>
      <c r="M209" s="609" t="str">
        <f>IF(L209="","",IF(E209="","",IF('1B.TransitionalProg'!$H$8&gt;0,"",VLOOKUP($E209,' 1A.Prop&amp;Residents'!$P$41:$R$47,2,FALSE))))</f>
        <v/>
      </c>
      <c r="N209" s="609" t="str">
        <f>IF(L209="","",IF(E209="","",IF('1B.TransitionalProg'!$H$8&gt;0,"",VLOOKUP($E209,' 1A.Prop&amp;Residents'!$P$41:$R$47,3,FALSE))))</f>
        <v/>
      </c>
      <c r="O209" s="610" t="str">
        <f>IF(L209="", "", IF(E209="", "", IF('1B.TransitionalProg'!$H$8&gt;0,"",IF(L209&lt;M209,"overHOUSED?",IF(L209&gt;N209, "OVERcrowded?","")))))</f>
        <v/>
      </c>
      <c r="P209" s="623"/>
      <c r="Q209" s="154"/>
      <c r="R209" s="154"/>
      <c r="S209" s="156"/>
      <c r="T209" s="156"/>
      <c r="U209" s="156"/>
      <c r="V209" s="156"/>
      <c r="W209" s="1580" t="str">
        <f t="shared" si="9"/>
        <v/>
      </c>
      <c r="X209" s="155"/>
      <c r="Y209" s="156"/>
      <c r="Z209" s="233" t="str">
        <f t="shared" si="10"/>
        <v/>
      </c>
      <c r="AA209" s="1447">
        <f>VLOOKUP($C209,'3B.Demographic'!$C$15:$N$414,6,FALSE)</f>
        <v>0</v>
      </c>
      <c r="AB209" s="1447">
        <f>VLOOKUP($C209,'3B.Demographic'!$C$15:$N$414,7,FALSE)</f>
        <v>0</v>
      </c>
      <c r="AC209" s="1447">
        <f>VLOOKUP($C209,'3B.Demographic'!$C$15:$N$414,8,FALSE)</f>
        <v>0</v>
      </c>
      <c r="AD209" s="1447">
        <f>VLOOKUP($C209,'3B.Demographic'!$C$15:$N$414,9,FALSE)</f>
        <v>0</v>
      </c>
      <c r="AE209" s="1447">
        <f>VLOOKUP($C209,'3B.Demographic'!$C$15:$N$414,10,FALSE)</f>
        <v>0</v>
      </c>
      <c r="AF209" s="1475">
        <f>VLOOKUP($C209,'3B.Demographic'!$C$15:$N$414,11,FALSE)</f>
        <v>0</v>
      </c>
      <c r="AG209" s="1229">
        <f>VLOOKUP($C209,'3B.Demographic'!$C$15:$N$414,12,FALSE)</f>
        <v>0</v>
      </c>
    </row>
    <row r="210" spans="1:33" ht="20.100000000000001" customHeight="1">
      <c r="A210" s="217" t="str">
        <f>IF(D210&lt;&gt;"", ' 1A.Prop&amp;Residents'!$B$7, "")</f>
        <v/>
      </c>
      <c r="B210" s="217" t="str">
        <f t="shared" si="11"/>
        <v/>
      </c>
      <c r="C210" s="34">
        <v>196</v>
      </c>
      <c r="D210" s="153"/>
      <c r="E210" s="154"/>
      <c r="F210" s="1775"/>
      <c r="G210" s="155"/>
      <c r="H210" s="156"/>
      <c r="I210" s="154"/>
      <c r="J210" s="157"/>
      <c r="K210" s="156"/>
      <c r="L210" s="154"/>
      <c r="M210" s="609" t="str">
        <f>IF(L210="","",IF(E210="","",IF('1B.TransitionalProg'!$H$8&gt;0,"",VLOOKUP($E210,' 1A.Prop&amp;Residents'!$P$41:$R$47,2,FALSE))))</f>
        <v/>
      </c>
      <c r="N210" s="609" t="str">
        <f>IF(L210="","",IF(E210="","",IF('1B.TransitionalProg'!$H$8&gt;0,"",VLOOKUP($E210,' 1A.Prop&amp;Residents'!$P$41:$R$47,3,FALSE))))</f>
        <v/>
      </c>
      <c r="O210" s="610" t="str">
        <f>IF(L210="", "", IF(E210="", "", IF('1B.TransitionalProg'!$H$8&gt;0,"",IF(L210&lt;M210,"overHOUSED?",IF(L210&gt;N210, "OVERcrowded?","")))))</f>
        <v/>
      </c>
      <c r="P210" s="623"/>
      <c r="Q210" s="154"/>
      <c r="R210" s="154"/>
      <c r="S210" s="156"/>
      <c r="T210" s="156"/>
      <c r="U210" s="156"/>
      <c r="V210" s="156"/>
      <c r="W210" s="1580" t="str">
        <f t="shared" si="9"/>
        <v/>
      </c>
      <c r="X210" s="155"/>
      <c r="Y210" s="156"/>
      <c r="Z210" s="233" t="str">
        <f t="shared" si="10"/>
        <v/>
      </c>
      <c r="AA210" s="1447">
        <f>VLOOKUP($C210,'3B.Demographic'!$C$15:$N$414,6,FALSE)</f>
        <v>0</v>
      </c>
      <c r="AB210" s="1447">
        <f>VLOOKUP($C210,'3B.Demographic'!$C$15:$N$414,7,FALSE)</f>
        <v>0</v>
      </c>
      <c r="AC210" s="1447">
        <f>VLOOKUP($C210,'3B.Demographic'!$C$15:$N$414,8,FALSE)</f>
        <v>0</v>
      </c>
      <c r="AD210" s="1447">
        <f>VLOOKUP($C210,'3B.Demographic'!$C$15:$N$414,9,FALSE)</f>
        <v>0</v>
      </c>
      <c r="AE210" s="1447">
        <f>VLOOKUP($C210,'3B.Demographic'!$C$15:$N$414,10,FALSE)</f>
        <v>0</v>
      </c>
      <c r="AF210" s="1475">
        <f>VLOOKUP($C210,'3B.Demographic'!$C$15:$N$414,11,FALSE)</f>
        <v>0</v>
      </c>
      <c r="AG210" s="1229">
        <f>VLOOKUP($C210,'3B.Demographic'!$C$15:$N$414,12,FALSE)</f>
        <v>0</v>
      </c>
    </row>
    <row r="211" spans="1:33" ht="20.100000000000001" customHeight="1">
      <c r="A211" s="217" t="str">
        <f>IF(D211&lt;&gt;"", ' 1A.Prop&amp;Residents'!$B$7, "")</f>
        <v/>
      </c>
      <c r="B211" s="217" t="str">
        <f t="shared" si="11"/>
        <v/>
      </c>
      <c r="C211" s="34">
        <v>197</v>
      </c>
      <c r="D211" s="153"/>
      <c r="E211" s="154"/>
      <c r="F211" s="1775"/>
      <c r="G211" s="155"/>
      <c r="H211" s="156"/>
      <c r="I211" s="154"/>
      <c r="J211" s="157"/>
      <c r="K211" s="156"/>
      <c r="L211" s="154"/>
      <c r="M211" s="609" t="str">
        <f>IF(L211="","",IF(E211="","",IF('1B.TransitionalProg'!$H$8&gt;0,"",VLOOKUP($E211,' 1A.Prop&amp;Residents'!$P$41:$R$47,2,FALSE))))</f>
        <v/>
      </c>
      <c r="N211" s="609" t="str">
        <f>IF(L211="","",IF(E211="","",IF('1B.TransitionalProg'!$H$8&gt;0,"",VLOOKUP($E211,' 1A.Prop&amp;Residents'!$P$41:$R$47,3,FALSE))))</f>
        <v/>
      </c>
      <c r="O211" s="610" t="str">
        <f>IF(L211="", "", IF(E211="", "", IF('1B.TransitionalProg'!$H$8&gt;0,"",IF(L211&lt;M211,"overHOUSED?",IF(L211&gt;N211, "OVERcrowded?","")))))</f>
        <v/>
      </c>
      <c r="P211" s="623"/>
      <c r="Q211" s="154"/>
      <c r="R211" s="154"/>
      <c r="S211" s="156"/>
      <c r="T211" s="156"/>
      <c r="U211" s="156"/>
      <c r="V211" s="156"/>
      <c r="W211" s="1580" t="str">
        <f t="shared" si="9"/>
        <v/>
      </c>
      <c r="X211" s="155"/>
      <c r="Y211" s="156"/>
      <c r="Z211" s="233" t="str">
        <f t="shared" si="10"/>
        <v/>
      </c>
      <c r="AA211" s="1447">
        <f>VLOOKUP($C211,'3B.Demographic'!$C$15:$N$414,6,FALSE)</f>
        <v>0</v>
      </c>
      <c r="AB211" s="1447">
        <f>VLOOKUP($C211,'3B.Demographic'!$C$15:$N$414,7,FALSE)</f>
        <v>0</v>
      </c>
      <c r="AC211" s="1447">
        <f>VLOOKUP($C211,'3B.Demographic'!$C$15:$N$414,8,FALSE)</f>
        <v>0</v>
      </c>
      <c r="AD211" s="1447">
        <f>VLOOKUP($C211,'3B.Demographic'!$C$15:$N$414,9,FALSE)</f>
        <v>0</v>
      </c>
      <c r="AE211" s="1447">
        <f>VLOOKUP($C211,'3B.Demographic'!$C$15:$N$414,10,FALSE)</f>
        <v>0</v>
      </c>
      <c r="AF211" s="1475">
        <f>VLOOKUP($C211,'3B.Demographic'!$C$15:$N$414,11,FALSE)</f>
        <v>0</v>
      </c>
      <c r="AG211" s="1229">
        <f>VLOOKUP($C211,'3B.Demographic'!$C$15:$N$414,12,FALSE)</f>
        <v>0</v>
      </c>
    </row>
    <row r="212" spans="1:33" ht="20.100000000000001" customHeight="1">
      <c r="A212" s="217" t="str">
        <f>IF(D212&lt;&gt;"", ' 1A.Prop&amp;Residents'!$B$7, "")</f>
        <v/>
      </c>
      <c r="B212" s="217" t="str">
        <f t="shared" si="11"/>
        <v/>
      </c>
      <c r="C212" s="34">
        <v>198</v>
      </c>
      <c r="D212" s="153"/>
      <c r="E212" s="154"/>
      <c r="F212" s="1775"/>
      <c r="G212" s="155"/>
      <c r="H212" s="156"/>
      <c r="I212" s="154"/>
      <c r="J212" s="157"/>
      <c r="K212" s="156"/>
      <c r="L212" s="154"/>
      <c r="M212" s="609" t="str">
        <f>IF(L212="","",IF(E212="","",IF('1B.TransitionalProg'!$H$8&gt;0,"",VLOOKUP($E212,' 1A.Prop&amp;Residents'!$P$41:$R$47,2,FALSE))))</f>
        <v/>
      </c>
      <c r="N212" s="609" t="str">
        <f>IF(L212="","",IF(E212="","",IF('1B.TransitionalProg'!$H$8&gt;0,"",VLOOKUP($E212,' 1A.Prop&amp;Residents'!$P$41:$R$47,3,FALSE))))</f>
        <v/>
      </c>
      <c r="O212" s="610" t="str">
        <f>IF(L212="", "", IF(E212="", "", IF('1B.TransitionalProg'!$H$8&gt;0,"",IF(L212&lt;M212,"overHOUSED?",IF(L212&gt;N212, "OVERcrowded?","")))))</f>
        <v/>
      </c>
      <c r="P212" s="623"/>
      <c r="Q212" s="154"/>
      <c r="R212" s="154"/>
      <c r="S212" s="156"/>
      <c r="T212" s="156"/>
      <c r="U212" s="156"/>
      <c r="V212" s="156"/>
      <c r="W212" s="1580" t="str">
        <f t="shared" si="9"/>
        <v/>
      </c>
      <c r="X212" s="155"/>
      <c r="Y212" s="156"/>
      <c r="Z212" s="233" t="str">
        <f t="shared" si="10"/>
        <v/>
      </c>
      <c r="AA212" s="1447">
        <f>VLOOKUP($C212,'3B.Demographic'!$C$15:$N$414,6,FALSE)</f>
        <v>0</v>
      </c>
      <c r="AB212" s="1447">
        <f>VLOOKUP($C212,'3B.Demographic'!$C$15:$N$414,7,FALSE)</f>
        <v>0</v>
      </c>
      <c r="AC212" s="1447">
        <f>VLOOKUP($C212,'3B.Demographic'!$C$15:$N$414,8,FALSE)</f>
        <v>0</v>
      </c>
      <c r="AD212" s="1447">
        <f>VLOOKUP($C212,'3B.Demographic'!$C$15:$N$414,9,FALSE)</f>
        <v>0</v>
      </c>
      <c r="AE212" s="1447">
        <f>VLOOKUP($C212,'3B.Demographic'!$C$15:$N$414,10,FALSE)</f>
        <v>0</v>
      </c>
      <c r="AF212" s="1475">
        <f>VLOOKUP($C212,'3B.Demographic'!$C$15:$N$414,11,FALSE)</f>
        <v>0</v>
      </c>
      <c r="AG212" s="1229">
        <f>VLOOKUP($C212,'3B.Demographic'!$C$15:$N$414,12,FALSE)</f>
        <v>0</v>
      </c>
    </row>
    <row r="213" spans="1:33" ht="20.100000000000001" customHeight="1">
      <c r="A213" s="217" t="str">
        <f>IF(D213&lt;&gt;"", ' 1A.Prop&amp;Residents'!$B$7, "")</f>
        <v/>
      </c>
      <c r="B213" s="217" t="str">
        <f t="shared" si="11"/>
        <v/>
      </c>
      <c r="C213" s="34">
        <v>199</v>
      </c>
      <c r="D213" s="153"/>
      <c r="E213" s="154"/>
      <c r="F213" s="1775"/>
      <c r="G213" s="155"/>
      <c r="H213" s="156"/>
      <c r="I213" s="154"/>
      <c r="J213" s="157"/>
      <c r="K213" s="156"/>
      <c r="L213" s="154"/>
      <c r="M213" s="609" t="str">
        <f>IF(L213="","",IF(E213="","",IF('1B.TransitionalProg'!$H$8&gt;0,"",VLOOKUP($E213,' 1A.Prop&amp;Residents'!$P$41:$R$47,2,FALSE))))</f>
        <v/>
      </c>
      <c r="N213" s="609" t="str">
        <f>IF(L213="","",IF(E213="","",IF('1B.TransitionalProg'!$H$8&gt;0,"",VLOOKUP($E213,' 1A.Prop&amp;Residents'!$P$41:$R$47,3,FALSE))))</f>
        <v/>
      </c>
      <c r="O213" s="610" t="str">
        <f>IF(L213="", "", IF(E213="", "", IF('1B.TransitionalProg'!$H$8&gt;0,"",IF(L213&lt;M213,"overHOUSED?",IF(L213&gt;N213, "OVERcrowded?","")))))</f>
        <v/>
      </c>
      <c r="P213" s="623"/>
      <c r="Q213" s="154"/>
      <c r="R213" s="154"/>
      <c r="S213" s="156"/>
      <c r="T213" s="156"/>
      <c r="U213" s="156"/>
      <c r="V213" s="156"/>
      <c r="W213" s="1580" t="str">
        <f t="shared" si="9"/>
        <v/>
      </c>
      <c r="X213" s="155"/>
      <c r="Y213" s="156"/>
      <c r="Z213" s="233" t="str">
        <f t="shared" si="10"/>
        <v/>
      </c>
      <c r="AA213" s="1447">
        <f>VLOOKUP($C213,'3B.Demographic'!$C$15:$N$414,6,FALSE)</f>
        <v>0</v>
      </c>
      <c r="AB213" s="1447">
        <f>VLOOKUP($C213,'3B.Demographic'!$C$15:$N$414,7,FALSE)</f>
        <v>0</v>
      </c>
      <c r="AC213" s="1447">
        <f>VLOOKUP($C213,'3B.Demographic'!$C$15:$N$414,8,FALSE)</f>
        <v>0</v>
      </c>
      <c r="AD213" s="1447">
        <f>VLOOKUP($C213,'3B.Demographic'!$C$15:$N$414,9,FALSE)</f>
        <v>0</v>
      </c>
      <c r="AE213" s="1447">
        <f>VLOOKUP($C213,'3B.Demographic'!$C$15:$N$414,10,FALSE)</f>
        <v>0</v>
      </c>
      <c r="AF213" s="1475">
        <f>VLOOKUP($C213,'3B.Demographic'!$C$15:$N$414,11,FALSE)</f>
        <v>0</v>
      </c>
      <c r="AG213" s="1229">
        <f>VLOOKUP($C213,'3B.Demographic'!$C$15:$N$414,12,FALSE)</f>
        <v>0</v>
      </c>
    </row>
    <row r="214" spans="1:33" ht="20.100000000000001" customHeight="1">
      <c r="A214" s="217" t="str">
        <f>IF(D214&lt;&gt;"", ' 1A.Prop&amp;Residents'!$B$7, "")</f>
        <v/>
      </c>
      <c r="B214" s="217" t="str">
        <f t="shared" si="11"/>
        <v/>
      </c>
      <c r="C214" s="34">
        <v>200</v>
      </c>
      <c r="D214" s="153"/>
      <c r="E214" s="154"/>
      <c r="F214" s="1775"/>
      <c r="G214" s="155"/>
      <c r="H214" s="156"/>
      <c r="I214" s="154"/>
      <c r="J214" s="157"/>
      <c r="K214" s="156"/>
      <c r="L214" s="154"/>
      <c r="M214" s="609" t="str">
        <f>IF(L214="","",IF(E214="","",IF('1B.TransitionalProg'!$H$8&gt;0,"",VLOOKUP($E214,' 1A.Prop&amp;Residents'!$P$41:$R$47,2,FALSE))))</f>
        <v/>
      </c>
      <c r="N214" s="609" t="str">
        <f>IF(L214="","",IF(E214="","",IF('1B.TransitionalProg'!$H$8&gt;0,"",VLOOKUP($E214,' 1A.Prop&amp;Residents'!$P$41:$R$47,3,FALSE))))</f>
        <v/>
      </c>
      <c r="O214" s="610" t="str">
        <f>IF(L214="", "", IF(E214="", "", IF('1B.TransitionalProg'!$H$8&gt;0,"",IF(L214&lt;M214,"overHOUSED?",IF(L214&gt;N214, "OVERcrowded?","")))))</f>
        <v/>
      </c>
      <c r="P214" s="623"/>
      <c r="Q214" s="154"/>
      <c r="R214" s="154"/>
      <c r="S214" s="156"/>
      <c r="T214" s="156"/>
      <c r="U214" s="156"/>
      <c r="V214" s="156"/>
      <c r="W214" s="1580" t="str">
        <f t="shared" si="9"/>
        <v/>
      </c>
      <c r="X214" s="155"/>
      <c r="Y214" s="156"/>
      <c r="Z214" s="233" t="str">
        <f t="shared" si="10"/>
        <v/>
      </c>
      <c r="AA214" s="1447">
        <f>VLOOKUP($C214,'3B.Demographic'!$C$15:$N$414,6,FALSE)</f>
        <v>0</v>
      </c>
      <c r="AB214" s="1447">
        <f>VLOOKUP($C214,'3B.Demographic'!$C$15:$N$414,7,FALSE)</f>
        <v>0</v>
      </c>
      <c r="AC214" s="1447">
        <f>VLOOKUP($C214,'3B.Demographic'!$C$15:$N$414,8,FALSE)</f>
        <v>0</v>
      </c>
      <c r="AD214" s="1447">
        <f>VLOOKUP($C214,'3B.Demographic'!$C$15:$N$414,9,FALSE)</f>
        <v>0</v>
      </c>
      <c r="AE214" s="1447">
        <f>VLOOKUP($C214,'3B.Demographic'!$C$15:$N$414,10,FALSE)</f>
        <v>0</v>
      </c>
      <c r="AF214" s="1475">
        <f>VLOOKUP($C214,'3B.Demographic'!$C$15:$N$414,11,FALSE)</f>
        <v>0</v>
      </c>
      <c r="AG214" s="1229">
        <f>VLOOKUP($C214,'3B.Demographic'!$C$15:$N$414,12,FALSE)</f>
        <v>0</v>
      </c>
    </row>
    <row r="215" spans="1:33" ht="20.100000000000001" customHeight="1">
      <c r="A215" s="217" t="str">
        <f>IF(D215&lt;&gt;"", ' 1A.Prop&amp;Residents'!$B$7, "")</f>
        <v/>
      </c>
      <c r="B215" s="217" t="str">
        <f t="shared" si="11"/>
        <v/>
      </c>
      <c r="C215" s="34">
        <v>201</v>
      </c>
      <c r="D215" s="153"/>
      <c r="E215" s="154"/>
      <c r="F215" s="1775"/>
      <c r="G215" s="155"/>
      <c r="H215" s="156"/>
      <c r="I215" s="154"/>
      <c r="J215" s="157"/>
      <c r="K215" s="156"/>
      <c r="L215" s="154"/>
      <c r="M215" s="609" t="str">
        <f>IF(L215="","",IF(E215="","",IF('1B.TransitionalProg'!$H$8&gt;0,"",VLOOKUP($E215,' 1A.Prop&amp;Residents'!$P$41:$R$47,2,FALSE))))</f>
        <v/>
      </c>
      <c r="N215" s="609" t="str">
        <f>IF(L215="","",IF(E215="","",IF('1B.TransitionalProg'!$H$8&gt;0,"",VLOOKUP($E215,' 1A.Prop&amp;Residents'!$P$41:$R$47,3,FALSE))))</f>
        <v/>
      </c>
      <c r="O215" s="610" t="str">
        <f>IF(L215="", "", IF(E215="", "", IF('1B.TransitionalProg'!$H$8&gt;0,"",IF(L215&lt;M215,"overHOUSED?",IF(L215&gt;N215, "OVERcrowded?","")))))</f>
        <v/>
      </c>
      <c r="P215" s="623"/>
      <c r="Q215" s="154"/>
      <c r="R215" s="154"/>
      <c r="S215" s="156"/>
      <c r="T215" s="156"/>
      <c r="U215" s="156"/>
      <c r="V215" s="156"/>
      <c r="W215" s="1580" t="str">
        <f t="shared" si="9"/>
        <v/>
      </c>
      <c r="X215" s="155"/>
      <c r="Y215" s="156"/>
      <c r="Z215" s="233" t="str">
        <f t="shared" si="10"/>
        <v/>
      </c>
      <c r="AA215" s="1447">
        <f>VLOOKUP($C215,'3B.Demographic'!$C$15:$N$414,6,FALSE)</f>
        <v>0</v>
      </c>
      <c r="AB215" s="1447">
        <f>VLOOKUP($C215,'3B.Demographic'!$C$15:$N$414,7,FALSE)</f>
        <v>0</v>
      </c>
      <c r="AC215" s="1447">
        <f>VLOOKUP($C215,'3B.Demographic'!$C$15:$N$414,8,FALSE)</f>
        <v>0</v>
      </c>
      <c r="AD215" s="1447">
        <f>VLOOKUP($C215,'3B.Demographic'!$C$15:$N$414,9,FALSE)</f>
        <v>0</v>
      </c>
      <c r="AE215" s="1447">
        <f>VLOOKUP($C215,'3B.Demographic'!$C$15:$N$414,10,FALSE)</f>
        <v>0</v>
      </c>
      <c r="AF215" s="1475">
        <f>VLOOKUP($C215,'3B.Demographic'!$C$15:$N$414,11,FALSE)</f>
        <v>0</v>
      </c>
      <c r="AG215" s="1229">
        <f>VLOOKUP($C215,'3B.Demographic'!$C$15:$N$414,12,FALSE)</f>
        <v>0</v>
      </c>
    </row>
    <row r="216" spans="1:33" ht="20.100000000000001" customHeight="1">
      <c r="A216" s="217" t="str">
        <f>IF(D216&lt;&gt;"", ' 1A.Prop&amp;Residents'!$B$7, "")</f>
        <v/>
      </c>
      <c r="B216" s="217" t="str">
        <f t="shared" si="11"/>
        <v/>
      </c>
      <c r="C216" s="34">
        <v>202</v>
      </c>
      <c r="D216" s="153"/>
      <c r="E216" s="154"/>
      <c r="F216" s="1775"/>
      <c r="G216" s="155"/>
      <c r="H216" s="156"/>
      <c r="I216" s="154"/>
      <c r="J216" s="157"/>
      <c r="K216" s="156"/>
      <c r="L216" s="154"/>
      <c r="M216" s="609" t="str">
        <f>IF(L216="","",IF(E216="","",IF('1B.TransitionalProg'!$H$8&gt;0,"",VLOOKUP($E216,' 1A.Prop&amp;Residents'!$P$41:$R$47,2,FALSE))))</f>
        <v/>
      </c>
      <c r="N216" s="609" t="str">
        <f>IF(L216="","",IF(E216="","",IF('1B.TransitionalProg'!$H$8&gt;0,"",VLOOKUP($E216,' 1A.Prop&amp;Residents'!$P$41:$R$47,3,FALSE))))</f>
        <v/>
      </c>
      <c r="O216" s="610" t="str">
        <f>IF(L216="", "", IF(E216="", "", IF('1B.TransitionalProg'!$H$8&gt;0,"",IF(L216&lt;M216,"overHOUSED?",IF(L216&gt;N216, "OVERcrowded?","")))))</f>
        <v/>
      </c>
      <c r="P216" s="623"/>
      <c r="Q216" s="154"/>
      <c r="R216" s="154"/>
      <c r="S216" s="156"/>
      <c r="T216" s="156"/>
      <c r="U216" s="156"/>
      <c r="V216" s="156"/>
      <c r="W216" s="1580" t="str">
        <f t="shared" si="9"/>
        <v/>
      </c>
      <c r="X216" s="155"/>
      <c r="Y216" s="156"/>
      <c r="Z216" s="233" t="str">
        <f t="shared" si="10"/>
        <v/>
      </c>
      <c r="AA216" s="1447">
        <f>VLOOKUP($C216,'3B.Demographic'!$C$15:$N$414,6,FALSE)</f>
        <v>0</v>
      </c>
      <c r="AB216" s="1447">
        <f>VLOOKUP($C216,'3B.Demographic'!$C$15:$N$414,7,FALSE)</f>
        <v>0</v>
      </c>
      <c r="AC216" s="1447">
        <f>VLOOKUP($C216,'3B.Demographic'!$C$15:$N$414,8,FALSE)</f>
        <v>0</v>
      </c>
      <c r="AD216" s="1447">
        <f>VLOOKUP($C216,'3B.Demographic'!$C$15:$N$414,9,FALSE)</f>
        <v>0</v>
      </c>
      <c r="AE216" s="1447">
        <f>VLOOKUP($C216,'3B.Demographic'!$C$15:$N$414,10,FALSE)</f>
        <v>0</v>
      </c>
      <c r="AF216" s="1475">
        <f>VLOOKUP($C216,'3B.Demographic'!$C$15:$N$414,11,FALSE)</f>
        <v>0</v>
      </c>
      <c r="AG216" s="1229">
        <f>VLOOKUP($C216,'3B.Demographic'!$C$15:$N$414,12,FALSE)</f>
        <v>0</v>
      </c>
    </row>
    <row r="217" spans="1:33" ht="20.100000000000001" customHeight="1">
      <c r="A217" s="217" t="str">
        <f>IF(D217&lt;&gt;"", ' 1A.Prop&amp;Residents'!$B$7, "")</f>
        <v/>
      </c>
      <c r="B217" s="217" t="str">
        <f t="shared" si="11"/>
        <v/>
      </c>
      <c r="C217" s="34">
        <v>203</v>
      </c>
      <c r="D217" s="153"/>
      <c r="E217" s="154"/>
      <c r="F217" s="1775"/>
      <c r="G217" s="155"/>
      <c r="H217" s="156"/>
      <c r="I217" s="154"/>
      <c r="J217" s="157"/>
      <c r="K217" s="156"/>
      <c r="L217" s="154"/>
      <c r="M217" s="609" t="str">
        <f>IF(L217="","",IF(E217="","",IF('1B.TransitionalProg'!$H$8&gt;0,"",VLOOKUP($E217,' 1A.Prop&amp;Residents'!$P$41:$R$47,2,FALSE))))</f>
        <v/>
      </c>
      <c r="N217" s="609" t="str">
        <f>IF(L217="","",IF(E217="","",IF('1B.TransitionalProg'!$H$8&gt;0,"",VLOOKUP($E217,' 1A.Prop&amp;Residents'!$P$41:$R$47,3,FALSE))))</f>
        <v/>
      </c>
      <c r="O217" s="610" t="str">
        <f>IF(L217="", "", IF(E217="", "", IF('1B.TransitionalProg'!$H$8&gt;0,"",IF(L217&lt;M217,"overHOUSED?",IF(L217&gt;N217, "OVERcrowded?","")))))</f>
        <v/>
      </c>
      <c r="P217" s="623"/>
      <c r="Q217" s="154"/>
      <c r="R217" s="154"/>
      <c r="S217" s="156"/>
      <c r="T217" s="156"/>
      <c r="U217" s="156"/>
      <c r="V217" s="156"/>
      <c r="W217" s="1580" t="str">
        <f t="shared" si="9"/>
        <v/>
      </c>
      <c r="X217" s="155"/>
      <c r="Y217" s="156"/>
      <c r="Z217" s="233" t="str">
        <f t="shared" si="10"/>
        <v/>
      </c>
      <c r="AA217" s="1447">
        <f>VLOOKUP($C217,'3B.Demographic'!$C$15:$N$414,6,FALSE)</f>
        <v>0</v>
      </c>
      <c r="AB217" s="1447">
        <f>VLOOKUP($C217,'3B.Demographic'!$C$15:$N$414,7,FALSE)</f>
        <v>0</v>
      </c>
      <c r="AC217" s="1447">
        <f>VLOOKUP($C217,'3B.Demographic'!$C$15:$N$414,8,FALSE)</f>
        <v>0</v>
      </c>
      <c r="AD217" s="1447">
        <f>VLOOKUP($C217,'3B.Demographic'!$C$15:$N$414,9,FALSE)</f>
        <v>0</v>
      </c>
      <c r="AE217" s="1447">
        <f>VLOOKUP($C217,'3B.Demographic'!$C$15:$N$414,10,FALSE)</f>
        <v>0</v>
      </c>
      <c r="AF217" s="1475">
        <f>VLOOKUP($C217,'3B.Demographic'!$C$15:$N$414,11,FALSE)</f>
        <v>0</v>
      </c>
      <c r="AG217" s="1229">
        <f>VLOOKUP($C217,'3B.Demographic'!$C$15:$N$414,12,FALSE)</f>
        <v>0</v>
      </c>
    </row>
    <row r="218" spans="1:33" ht="20.100000000000001" customHeight="1">
      <c r="A218" s="217" t="str">
        <f>IF(D218&lt;&gt;"", ' 1A.Prop&amp;Residents'!$B$7, "")</f>
        <v/>
      </c>
      <c r="B218" s="217" t="str">
        <f t="shared" si="11"/>
        <v/>
      </c>
      <c r="C218" s="34">
        <v>204</v>
      </c>
      <c r="D218" s="153"/>
      <c r="E218" s="154"/>
      <c r="F218" s="1775"/>
      <c r="G218" s="155"/>
      <c r="H218" s="156"/>
      <c r="I218" s="154"/>
      <c r="J218" s="157"/>
      <c r="K218" s="156"/>
      <c r="L218" s="154"/>
      <c r="M218" s="609" t="str">
        <f>IF(L218="","",IF(E218="","",IF('1B.TransitionalProg'!$H$8&gt;0,"",VLOOKUP($E218,' 1A.Prop&amp;Residents'!$P$41:$R$47,2,FALSE))))</f>
        <v/>
      </c>
      <c r="N218" s="609" t="str">
        <f>IF(L218="","",IF(E218="","",IF('1B.TransitionalProg'!$H$8&gt;0,"",VLOOKUP($E218,' 1A.Prop&amp;Residents'!$P$41:$R$47,3,FALSE))))</f>
        <v/>
      </c>
      <c r="O218" s="610" t="str">
        <f>IF(L218="", "", IF(E218="", "", IF('1B.TransitionalProg'!$H$8&gt;0,"",IF(L218&lt;M218,"overHOUSED?",IF(L218&gt;N218, "OVERcrowded?","")))))</f>
        <v/>
      </c>
      <c r="P218" s="623"/>
      <c r="Q218" s="154"/>
      <c r="R218" s="154"/>
      <c r="S218" s="156"/>
      <c r="T218" s="156"/>
      <c r="U218" s="156"/>
      <c r="V218" s="156"/>
      <c r="W218" s="1580" t="str">
        <f t="shared" si="9"/>
        <v/>
      </c>
      <c r="X218" s="155"/>
      <c r="Y218" s="156"/>
      <c r="Z218" s="233" t="str">
        <f t="shared" si="10"/>
        <v/>
      </c>
      <c r="AA218" s="1447">
        <f>VLOOKUP($C218,'3B.Demographic'!$C$15:$N$414,6,FALSE)</f>
        <v>0</v>
      </c>
      <c r="AB218" s="1447">
        <f>VLOOKUP($C218,'3B.Demographic'!$C$15:$N$414,7,FALSE)</f>
        <v>0</v>
      </c>
      <c r="AC218" s="1447">
        <f>VLOOKUP($C218,'3B.Demographic'!$C$15:$N$414,8,FALSE)</f>
        <v>0</v>
      </c>
      <c r="AD218" s="1447">
        <f>VLOOKUP($C218,'3B.Demographic'!$C$15:$N$414,9,FALSE)</f>
        <v>0</v>
      </c>
      <c r="AE218" s="1447">
        <f>VLOOKUP($C218,'3B.Demographic'!$C$15:$N$414,10,FALSE)</f>
        <v>0</v>
      </c>
      <c r="AF218" s="1475">
        <f>VLOOKUP($C218,'3B.Demographic'!$C$15:$N$414,11,FALSE)</f>
        <v>0</v>
      </c>
      <c r="AG218" s="1229">
        <f>VLOOKUP($C218,'3B.Demographic'!$C$15:$N$414,12,FALSE)</f>
        <v>0</v>
      </c>
    </row>
    <row r="219" spans="1:33" ht="20.100000000000001" customHeight="1">
      <c r="A219" s="217" t="str">
        <f>IF(D219&lt;&gt;"", ' 1A.Prop&amp;Residents'!$B$7, "")</f>
        <v/>
      </c>
      <c r="B219" s="217" t="str">
        <f t="shared" si="11"/>
        <v/>
      </c>
      <c r="C219" s="34">
        <v>205</v>
      </c>
      <c r="D219" s="153"/>
      <c r="E219" s="154"/>
      <c r="F219" s="1775"/>
      <c r="G219" s="155"/>
      <c r="H219" s="156"/>
      <c r="I219" s="154"/>
      <c r="J219" s="157"/>
      <c r="K219" s="156"/>
      <c r="L219" s="154"/>
      <c r="M219" s="609" t="str">
        <f>IF(L219="","",IF(E219="","",IF('1B.TransitionalProg'!$H$8&gt;0,"",VLOOKUP($E219,' 1A.Prop&amp;Residents'!$P$41:$R$47,2,FALSE))))</f>
        <v/>
      </c>
      <c r="N219" s="609" t="str">
        <f>IF(L219="","",IF(E219="","",IF('1B.TransitionalProg'!$H$8&gt;0,"",VLOOKUP($E219,' 1A.Prop&amp;Residents'!$P$41:$R$47,3,FALSE))))</f>
        <v/>
      </c>
      <c r="O219" s="610" t="str">
        <f>IF(L219="", "", IF(E219="", "", IF('1B.TransitionalProg'!$H$8&gt;0,"",IF(L219&lt;M219,"overHOUSED?",IF(L219&gt;N219, "OVERcrowded?","")))))</f>
        <v/>
      </c>
      <c r="P219" s="623"/>
      <c r="Q219" s="154"/>
      <c r="R219" s="154"/>
      <c r="S219" s="156"/>
      <c r="T219" s="156"/>
      <c r="U219" s="156"/>
      <c r="V219" s="156"/>
      <c r="W219" s="1580" t="str">
        <f t="shared" si="9"/>
        <v/>
      </c>
      <c r="X219" s="155"/>
      <c r="Y219" s="156"/>
      <c r="Z219" s="233" t="str">
        <f t="shared" si="10"/>
        <v/>
      </c>
      <c r="AA219" s="1447">
        <f>VLOOKUP($C219,'3B.Demographic'!$C$15:$N$414,6,FALSE)</f>
        <v>0</v>
      </c>
      <c r="AB219" s="1447">
        <f>VLOOKUP($C219,'3B.Demographic'!$C$15:$N$414,7,FALSE)</f>
        <v>0</v>
      </c>
      <c r="AC219" s="1447">
        <f>VLOOKUP($C219,'3B.Demographic'!$C$15:$N$414,8,FALSE)</f>
        <v>0</v>
      </c>
      <c r="AD219" s="1447">
        <f>VLOOKUP($C219,'3B.Demographic'!$C$15:$N$414,9,FALSE)</f>
        <v>0</v>
      </c>
      <c r="AE219" s="1447">
        <f>VLOOKUP($C219,'3B.Demographic'!$C$15:$N$414,10,FALSE)</f>
        <v>0</v>
      </c>
      <c r="AF219" s="1475">
        <f>VLOOKUP($C219,'3B.Demographic'!$C$15:$N$414,11,FALSE)</f>
        <v>0</v>
      </c>
      <c r="AG219" s="1229">
        <f>VLOOKUP($C219,'3B.Demographic'!$C$15:$N$414,12,FALSE)</f>
        <v>0</v>
      </c>
    </row>
    <row r="220" spans="1:33" ht="20.100000000000001" customHeight="1">
      <c r="A220" s="217" t="str">
        <f>IF(D220&lt;&gt;"", ' 1A.Prop&amp;Residents'!$B$7, "")</f>
        <v/>
      </c>
      <c r="B220" s="217" t="str">
        <f t="shared" si="11"/>
        <v/>
      </c>
      <c r="C220" s="34">
        <v>206</v>
      </c>
      <c r="D220" s="153"/>
      <c r="E220" s="154"/>
      <c r="F220" s="1775"/>
      <c r="G220" s="155"/>
      <c r="H220" s="156"/>
      <c r="I220" s="154"/>
      <c r="J220" s="157"/>
      <c r="K220" s="156"/>
      <c r="L220" s="154"/>
      <c r="M220" s="609" t="str">
        <f>IF(L220="","",IF(E220="","",IF('1B.TransitionalProg'!$H$8&gt;0,"",VLOOKUP($E220,' 1A.Prop&amp;Residents'!$P$41:$R$47,2,FALSE))))</f>
        <v/>
      </c>
      <c r="N220" s="609" t="str">
        <f>IF(L220="","",IF(E220="","",IF('1B.TransitionalProg'!$H$8&gt;0,"",VLOOKUP($E220,' 1A.Prop&amp;Residents'!$P$41:$R$47,3,FALSE))))</f>
        <v/>
      </c>
      <c r="O220" s="610" t="str">
        <f>IF(L220="", "", IF(E220="", "", IF('1B.TransitionalProg'!$H$8&gt;0,"",IF(L220&lt;M220,"overHOUSED?",IF(L220&gt;N220, "OVERcrowded?","")))))</f>
        <v/>
      </c>
      <c r="P220" s="623"/>
      <c r="Q220" s="154"/>
      <c r="R220" s="154"/>
      <c r="S220" s="156"/>
      <c r="T220" s="156"/>
      <c r="U220" s="156"/>
      <c r="V220" s="156"/>
      <c r="W220" s="1580" t="str">
        <f t="shared" si="9"/>
        <v/>
      </c>
      <c r="X220" s="155"/>
      <c r="Y220" s="156"/>
      <c r="Z220" s="233" t="str">
        <f t="shared" si="10"/>
        <v/>
      </c>
      <c r="AA220" s="1447">
        <f>VLOOKUP($C220,'3B.Demographic'!$C$15:$N$414,6,FALSE)</f>
        <v>0</v>
      </c>
      <c r="AB220" s="1447">
        <f>VLOOKUP($C220,'3B.Demographic'!$C$15:$N$414,7,FALSE)</f>
        <v>0</v>
      </c>
      <c r="AC220" s="1447">
        <f>VLOOKUP($C220,'3B.Demographic'!$C$15:$N$414,8,FALSE)</f>
        <v>0</v>
      </c>
      <c r="AD220" s="1447">
        <f>VLOOKUP($C220,'3B.Demographic'!$C$15:$N$414,9,FALSE)</f>
        <v>0</v>
      </c>
      <c r="AE220" s="1447">
        <f>VLOOKUP($C220,'3B.Demographic'!$C$15:$N$414,10,FALSE)</f>
        <v>0</v>
      </c>
      <c r="AF220" s="1475">
        <f>VLOOKUP($C220,'3B.Demographic'!$C$15:$N$414,11,FALSE)</f>
        <v>0</v>
      </c>
      <c r="AG220" s="1229">
        <f>VLOOKUP($C220,'3B.Demographic'!$C$15:$N$414,12,FALSE)</f>
        <v>0</v>
      </c>
    </row>
    <row r="221" spans="1:33" ht="20.100000000000001" customHeight="1">
      <c r="A221" s="217" t="str">
        <f>IF(D221&lt;&gt;"", ' 1A.Prop&amp;Residents'!$B$7, "")</f>
        <v/>
      </c>
      <c r="B221" s="217" t="str">
        <f t="shared" si="11"/>
        <v/>
      </c>
      <c r="C221" s="34">
        <v>207</v>
      </c>
      <c r="D221" s="153"/>
      <c r="E221" s="154"/>
      <c r="F221" s="1775"/>
      <c r="G221" s="155"/>
      <c r="H221" s="156"/>
      <c r="I221" s="154"/>
      <c r="J221" s="157"/>
      <c r="K221" s="156"/>
      <c r="L221" s="154"/>
      <c r="M221" s="609" t="str">
        <f>IF(L221="","",IF(E221="","",IF('1B.TransitionalProg'!$H$8&gt;0,"",VLOOKUP($E221,' 1A.Prop&amp;Residents'!$P$41:$R$47,2,FALSE))))</f>
        <v/>
      </c>
      <c r="N221" s="609" t="str">
        <f>IF(L221="","",IF(E221="","",IF('1B.TransitionalProg'!$H$8&gt;0,"",VLOOKUP($E221,' 1A.Prop&amp;Residents'!$P$41:$R$47,3,FALSE))))</f>
        <v/>
      </c>
      <c r="O221" s="610" t="str">
        <f>IF(L221="", "", IF(E221="", "", IF('1B.TransitionalProg'!$H$8&gt;0,"",IF(L221&lt;M221,"overHOUSED?",IF(L221&gt;N221, "OVERcrowded?","")))))</f>
        <v/>
      </c>
      <c r="P221" s="623"/>
      <c r="Q221" s="154"/>
      <c r="R221" s="154"/>
      <c r="S221" s="156"/>
      <c r="T221" s="156"/>
      <c r="U221" s="156"/>
      <c r="V221" s="156"/>
      <c r="W221" s="1580" t="str">
        <f t="shared" si="9"/>
        <v/>
      </c>
      <c r="X221" s="155"/>
      <c r="Y221" s="156"/>
      <c r="Z221" s="233" t="str">
        <f t="shared" si="10"/>
        <v/>
      </c>
      <c r="AA221" s="1447">
        <f>VLOOKUP($C221,'3B.Demographic'!$C$15:$N$414,6,FALSE)</f>
        <v>0</v>
      </c>
      <c r="AB221" s="1447">
        <f>VLOOKUP($C221,'3B.Demographic'!$C$15:$N$414,7,FALSE)</f>
        <v>0</v>
      </c>
      <c r="AC221" s="1447">
        <f>VLOOKUP($C221,'3B.Demographic'!$C$15:$N$414,8,FALSE)</f>
        <v>0</v>
      </c>
      <c r="AD221" s="1447">
        <f>VLOOKUP($C221,'3B.Demographic'!$C$15:$N$414,9,FALSE)</f>
        <v>0</v>
      </c>
      <c r="AE221" s="1447">
        <f>VLOOKUP($C221,'3B.Demographic'!$C$15:$N$414,10,FALSE)</f>
        <v>0</v>
      </c>
      <c r="AF221" s="1475">
        <f>VLOOKUP($C221,'3B.Demographic'!$C$15:$N$414,11,FALSE)</f>
        <v>0</v>
      </c>
      <c r="AG221" s="1229">
        <f>VLOOKUP($C221,'3B.Demographic'!$C$15:$N$414,12,FALSE)</f>
        <v>0</v>
      </c>
    </row>
    <row r="222" spans="1:33" ht="20.100000000000001" customHeight="1">
      <c r="A222" s="217" t="str">
        <f>IF(D222&lt;&gt;"", ' 1A.Prop&amp;Residents'!$B$7, "")</f>
        <v/>
      </c>
      <c r="B222" s="217" t="str">
        <f t="shared" si="11"/>
        <v/>
      </c>
      <c r="C222" s="34">
        <v>208</v>
      </c>
      <c r="D222" s="153"/>
      <c r="E222" s="154"/>
      <c r="F222" s="1775"/>
      <c r="G222" s="155"/>
      <c r="H222" s="156"/>
      <c r="I222" s="154"/>
      <c r="J222" s="157"/>
      <c r="K222" s="156"/>
      <c r="L222" s="154"/>
      <c r="M222" s="609" t="str">
        <f>IF(L222="","",IF(E222="","",IF('1B.TransitionalProg'!$H$8&gt;0,"",VLOOKUP($E222,' 1A.Prop&amp;Residents'!$P$41:$R$47,2,FALSE))))</f>
        <v/>
      </c>
      <c r="N222" s="609" t="str">
        <f>IF(L222="","",IF(E222="","",IF('1B.TransitionalProg'!$H$8&gt;0,"",VLOOKUP($E222,' 1A.Prop&amp;Residents'!$P$41:$R$47,3,FALSE))))</f>
        <v/>
      </c>
      <c r="O222" s="610" t="str">
        <f>IF(L222="", "", IF(E222="", "", IF('1B.TransitionalProg'!$H$8&gt;0,"",IF(L222&lt;M222,"overHOUSED?",IF(L222&gt;N222, "OVERcrowded?","")))))</f>
        <v/>
      </c>
      <c r="P222" s="623"/>
      <c r="Q222" s="154"/>
      <c r="R222" s="154"/>
      <c r="S222" s="156"/>
      <c r="T222" s="156"/>
      <c r="U222" s="156"/>
      <c r="V222" s="156"/>
      <c r="W222" s="1580" t="str">
        <f t="shared" si="9"/>
        <v/>
      </c>
      <c r="X222" s="155"/>
      <c r="Y222" s="156"/>
      <c r="Z222" s="233" t="str">
        <f t="shared" si="10"/>
        <v/>
      </c>
      <c r="AA222" s="1447">
        <f>VLOOKUP($C222,'3B.Demographic'!$C$15:$N$414,6,FALSE)</f>
        <v>0</v>
      </c>
      <c r="AB222" s="1447">
        <f>VLOOKUP($C222,'3B.Demographic'!$C$15:$N$414,7,FALSE)</f>
        <v>0</v>
      </c>
      <c r="AC222" s="1447">
        <f>VLOOKUP($C222,'3B.Demographic'!$C$15:$N$414,8,FALSE)</f>
        <v>0</v>
      </c>
      <c r="AD222" s="1447">
        <f>VLOOKUP($C222,'3B.Demographic'!$C$15:$N$414,9,FALSE)</f>
        <v>0</v>
      </c>
      <c r="AE222" s="1447">
        <f>VLOOKUP($C222,'3B.Demographic'!$C$15:$N$414,10,FALSE)</f>
        <v>0</v>
      </c>
      <c r="AF222" s="1475">
        <f>VLOOKUP($C222,'3B.Demographic'!$C$15:$N$414,11,FALSE)</f>
        <v>0</v>
      </c>
      <c r="AG222" s="1229">
        <f>VLOOKUP($C222,'3B.Demographic'!$C$15:$N$414,12,FALSE)</f>
        <v>0</v>
      </c>
    </row>
    <row r="223" spans="1:33" ht="20.100000000000001" customHeight="1">
      <c r="A223" s="217" t="str">
        <f>IF(D223&lt;&gt;"", ' 1A.Prop&amp;Residents'!$B$7, "")</f>
        <v/>
      </c>
      <c r="B223" s="217" t="str">
        <f t="shared" si="11"/>
        <v/>
      </c>
      <c r="C223" s="34">
        <v>209</v>
      </c>
      <c r="D223" s="153"/>
      <c r="E223" s="154"/>
      <c r="F223" s="1775"/>
      <c r="G223" s="155"/>
      <c r="H223" s="156"/>
      <c r="I223" s="154"/>
      <c r="J223" s="157"/>
      <c r="K223" s="156"/>
      <c r="L223" s="154"/>
      <c r="M223" s="609" t="str">
        <f>IF(L223="","",IF(E223="","",IF('1B.TransitionalProg'!$H$8&gt;0,"",VLOOKUP($E223,' 1A.Prop&amp;Residents'!$P$41:$R$47,2,FALSE))))</f>
        <v/>
      </c>
      <c r="N223" s="609" t="str">
        <f>IF(L223="","",IF(E223="","",IF('1B.TransitionalProg'!$H$8&gt;0,"",VLOOKUP($E223,' 1A.Prop&amp;Residents'!$P$41:$R$47,3,FALSE))))</f>
        <v/>
      </c>
      <c r="O223" s="610" t="str">
        <f>IF(L223="", "", IF(E223="", "", IF('1B.TransitionalProg'!$H$8&gt;0,"",IF(L223&lt;M223,"overHOUSED?",IF(L223&gt;N223, "OVERcrowded?","")))))</f>
        <v/>
      </c>
      <c r="P223" s="623"/>
      <c r="Q223" s="154"/>
      <c r="R223" s="154"/>
      <c r="S223" s="156"/>
      <c r="T223" s="156"/>
      <c r="U223" s="156"/>
      <c r="V223" s="156"/>
      <c r="W223" s="1580" t="str">
        <f t="shared" si="9"/>
        <v/>
      </c>
      <c r="X223" s="155"/>
      <c r="Y223" s="156"/>
      <c r="Z223" s="233" t="str">
        <f t="shared" si="10"/>
        <v/>
      </c>
      <c r="AA223" s="1447">
        <f>VLOOKUP($C223,'3B.Demographic'!$C$15:$N$414,6,FALSE)</f>
        <v>0</v>
      </c>
      <c r="AB223" s="1447">
        <f>VLOOKUP($C223,'3B.Demographic'!$C$15:$N$414,7,FALSE)</f>
        <v>0</v>
      </c>
      <c r="AC223" s="1447">
        <f>VLOOKUP($C223,'3B.Demographic'!$C$15:$N$414,8,FALSE)</f>
        <v>0</v>
      </c>
      <c r="AD223" s="1447">
        <f>VLOOKUP($C223,'3B.Demographic'!$C$15:$N$414,9,FALSE)</f>
        <v>0</v>
      </c>
      <c r="AE223" s="1447">
        <f>VLOOKUP($C223,'3B.Demographic'!$C$15:$N$414,10,FALSE)</f>
        <v>0</v>
      </c>
      <c r="AF223" s="1475">
        <f>VLOOKUP($C223,'3B.Demographic'!$C$15:$N$414,11,FALSE)</f>
        <v>0</v>
      </c>
      <c r="AG223" s="1229">
        <f>VLOOKUP($C223,'3B.Demographic'!$C$15:$N$414,12,FALSE)</f>
        <v>0</v>
      </c>
    </row>
    <row r="224" spans="1:33" ht="20.100000000000001" customHeight="1">
      <c r="A224" s="217" t="str">
        <f>IF(D224&lt;&gt;"", ' 1A.Prop&amp;Residents'!$B$7, "")</f>
        <v/>
      </c>
      <c r="B224" s="217" t="str">
        <f t="shared" si="11"/>
        <v/>
      </c>
      <c r="C224" s="34">
        <v>210</v>
      </c>
      <c r="D224" s="153"/>
      <c r="E224" s="154"/>
      <c r="F224" s="1775"/>
      <c r="G224" s="155"/>
      <c r="H224" s="156"/>
      <c r="I224" s="154"/>
      <c r="J224" s="157"/>
      <c r="K224" s="156"/>
      <c r="L224" s="154"/>
      <c r="M224" s="609" t="str">
        <f>IF(L224="","",IF(E224="","",IF('1B.TransitionalProg'!$H$8&gt;0,"",VLOOKUP($E224,' 1A.Prop&amp;Residents'!$P$41:$R$47,2,FALSE))))</f>
        <v/>
      </c>
      <c r="N224" s="609" t="str">
        <f>IF(L224="","",IF(E224="","",IF('1B.TransitionalProg'!$H$8&gt;0,"",VLOOKUP($E224,' 1A.Prop&amp;Residents'!$P$41:$R$47,3,FALSE))))</f>
        <v/>
      </c>
      <c r="O224" s="610" t="str">
        <f>IF(L224="", "", IF(E224="", "", IF('1B.TransitionalProg'!$H$8&gt;0,"",IF(L224&lt;M224,"overHOUSED?",IF(L224&gt;N224, "OVERcrowded?","")))))</f>
        <v/>
      </c>
      <c r="P224" s="623"/>
      <c r="Q224" s="154"/>
      <c r="R224" s="154"/>
      <c r="S224" s="156"/>
      <c r="T224" s="156"/>
      <c r="U224" s="156"/>
      <c r="V224" s="156"/>
      <c r="W224" s="1580" t="str">
        <f t="shared" si="9"/>
        <v/>
      </c>
      <c r="X224" s="155"/>
      <c r="Y224" s="156"/>
      <c r="Z224" s="233" t="str">
        <f t="shared" si="10"/>
        <v/>
      </c>
      <c r="AA224" s="1447">
        <f>VLOOKUP($C224,'3B.Demographic'!$C$15:$N$414,6,FALSE)</f>
        <v>0</v>
      </c>
      <c r="AB224" s="1447">
        <f>VLOOKUP($C224,'3B.Demographic'!$C$15:$N$414,7,FALSE)</f>
        <v>0</v>
      </c>
      <c r="AC224" s="1447">
        <f>VLOOKUP($C224,'3B.Demographic'!$C$15:$N$414,8,FALSE)</f>
        <v>0</v>
      </c>
      <c r="AD224" s="1447">
        <f>VLOOKUP($C224,'3B.Demographic'!$C$15:$N$414,9,FALSE)</f>
        <v>0</v>
      </c>
      <c r="AE224" s="1447">
        <f>VLOOKUP($C224,'3B.Demographic'!$C$15:$N$414,10,FALSE)</f>
        <v>0</v>
      </c>
      <c r="AF224" s="1475">
        <f>VLOOKUP($C224,'3B.Demographic'!$C$15:$N$414,11,FALSE)</f>
        <v>0</v>
      </c>
      <c r="AG224" s="1229">
        <f>VLOOKUP($C224,'3B.Demographic'!$C$15:$N$414,12,FALSE)</f>
        <v>0</v>
      </c>
    </row>
    <row r="225" spans="1:33" ht="20.100000000000001" customHeight="1">
      <c r="A225" s="217" t="str">
        <f>IF(D225&lt;&gt;"", ' 1A.Prop&amp;Residents'!$B$7, "")</f>
        <v/>
      </c>
      <c r="B225" s="217" t="str">
        <f t="shared" si="11"/>
        <v/>
      </c>
      <c r="C225" s="34">
        <v>211</v>
      </c>
      <c r="D225" s="153"/>
      <c r="E225" s="154"/>
      <c r="F225" s="1775"/>
      <c r="G225" s="155"/>
      <c r="H225" s="156"/>
      <c r="I225" s="154"/>
      <c r="J225" s="157"/>
      <c r="K225" s="156"/>
      <c r="L225" s="154"/>
      <c r="M225" s="609" t="str">
        <f>IF(L225="","",IF(E225="","",IF('1B.TransitionalProg'!$H$8&gt;0,"",VLOOKUP($E225,' 1A.Prop&amp;Residents'!$P$41:$R$47,2,FALSE))))</f>
        <v/>
      </c>
      <c r="N225" s="609" t="str">
        <f>IF(L225="","",IF(E225="","",IF('1B.TransitionalProg'!$H$8&gt;0,"",VLOOKUP($E225,' 1A.Prop&amp;Residents'!$P$41:$R$47,3,FALSE))))</f>
        <v/>
      </c>
      <c r="O225" s="610" t="str">
        <f>IF(L225="", "", IF(E225="", "", IF('1B.TransitionalProg'!$H$8&gt;0,"",IF(L225&lt;M225,"overHOUSED?",IF(L225&gt;N225, "OVERcrowded?","")))))</f>
        <v/>
      </c>
      <c r="P225" s="623"/>
      <c r="Q225" s="154"/>
      <c r="R225" s="154"/>
      <c r="S225" s="156"/>
      <c r="T225" s="156"/>
      <c r="U225" s="156"/>
      <c r="V225" s="156"/>
      <c r="W225" s="1580" t="str">
        <f t="shared" si="9"/>
        <v/>
      </c>
      <c r="X225" s="155"/>
      <c r="Y225" s="156"/>
      <c r="Z225" s="233" t="str">
        <f t="shared" si="10"/>
        <v/>
      </c>
      <c r="AA225" s="1447">
        <f>VLOOKUP($C225,'3B.Demographic'!$C$15:$N$414,6,FALSE)</f>
        <v>0</v>
      </c>
      <c r="AB225" s="1447">
        <f>VLOOKUP($C225,'3B.Demographic'!$C$15:$N$414,7,FALSE)</f>
        <v>0</v>
      </c>
      <c r="AC225" s="1447">
        <f>VLOOKUP($C225,'3B.Demographic'!$C$15:$N$414,8,FALSE)</f>
        <v>0</v>
      </c>
      <c r="AD225" s="1447">
        <f>VLOOKUP($C225,'3B.Demographic'!$C$15:$N$414,9,FALSE)</f>
        <v>0</v>
      </c>
      <c r="AE225" s="1447">
        <f>VLOOKUP($C225,'3B.Demographic'!$C$15:$N$414,10,FALSE)</f>
        <v>0</v>
      </c>
      <c r="AF225" s="1475">
        <f>VLOOKUP($C225,'3B.Demographic'!$C$15:$N$414,11,FALSE)</f>
        <v>0</v>
      </c>
      <c r="AG225" s="1229">
        <f>VLOOKUP($C225,'3B.Demographic'!$C$15:$N$414,12,FALSE)</f>
        <v>0</v>
      </c>
    </row>
    <row r="226" spans="1:33" ht="20.100000000000001" customHeight="1">
      <c r="A226" s="217" t="str">
        <f>IF(D226&lt;&gt;"", ' 1A.Prop&amp;Residents'!$B$7, "")</f>
        <v/>
      </c>
      <c r="B226" s="217" t="str">
        <f t="shared" si="11"/>
        <v/>
      </c>
      <c r="C226" s="34">
        <v>212</v>
      </c>
      <c r="D226" s="153"/>
      <c r="E226" s="154"/>
      <c r="F226" s="1775"/>
      <c r="G226" s="155"/>
      <c r="H226" s="156"/>
      <c r="I226" s="154"/>
      <c r="J226" s="157"/>
      <c r="K226" s="156"/>
      <c r="L226" s="154"/>
      <c r="M226" s="609" t="str">
        <f>IF(L226="","",IF(E226="","",IF('1B.TransitionalProg'!$H$8&gt;0,"",VLOOKUP($E226,' 1A.Prop&amp;Residents'!$P$41:$R$47,2,FALSE))))</f>
        <v/>
      </c>
      <c r="N226" s="609" t="str">
        <f>IF(L226="","",IF(E226="","",IF('1B.TransitionalProg'!$H$8&gt;0,"",VLOOKUP($E226,' 1A.Prop&amp;Residents'!$P$41:$R$47,3,FALSE))))</f>
        <v/>
      </c>
      <c r="O226" s="610" t="str">
        <f>IF(L226="", "", IF(E226="", "", IF('1B.TransitionalProg'!$H$8&gt;0,"",IF(L226&lt;M226,"overHOUSED?",IF(L226&gt;N226, "OVERcrowded?","")))))</f>
        <v/>
      </c>
      <c r="P226" s="623"/>
      <c r="Q226" s="154"/>
      <c r="R226" s="154"/>
      <c r="S226" s="156"/>
      <c r="T226" s="156"/>
      <c r="U226" s="156"/>
      <c r="V226" s="156"/>
      <c r="W226" s="1580" t="str">
        <f t="shared" si="9"/>
        <v/>
      </c>
      <c r="X226" s="155"/>
      <c r="Y226" s="156"/>
      <c r="Z226" s="233" t="str">
        <f t="shared" si="10"/>
        <v/>
      </c>
      <c r="AA226" s="1447">
        <f>VLOOKUP($C226,'3B.Demographic'!$C$15:$N$414,6,FALSE)</f>
        <v>0</v>
      </c>
      <c r="AB226" s="1447">
        <f>VLOOKUP($C226,'3B.Demographic'!$C$15:$N$414,7,FALSE)</f>
        <v>0</v>
      </c>
      <c r="AC226" s="1447">
        <f>VLOOKUP($C226,'3B.Demographic'!$C$15:$N$414,8,FALSE)</f>
        <v>0</v>
      </c>
      <c r="AD226" s="1447">
        <f>VLOOKUP($C226,'3B.Demographic'!$C$15:$N$414,9,FALSE)</f>
        <v>0</v>
      </c>
      <c r="AE226" s="1447">
        <f>VLOOKUP($C226,'3B.Demographic'!$C$15:$N$414,10,FALSE)</f>
        <v>0</v>
      </c>
      <c r="AF226" s="1475">
        <f>VLOOKUP($C226,'3B.Demographic'!$C$15:$N$414,11,FALSE)</f>
        <v>0</v>
      </c>
      <c r="AG226" s="1229">
        <f>VLOOKUP($C226,'3B.Demographic'!$C$15:$N$414,12,FALSE)</f>
        <v>0</v>
      </c>
    </row>
    <row r="227" spans="1:33" ht="20.100000000000001" customHeight="1">
      <c r="A227" s="217" t="str">
        <f>IF(D227&lt;&gt;"", ' 1A.Prop&amp;Residents'!$B$7, "")</f>
        <v/>
      </c>
      <c r="B227" s="217" t="str">
        <f t="shared" si="11"/>
        <v/>
      </c>
      <c r="C227" s="34">
        <v>213</v>
      </c>
      <c r="D227" s="153"/>
      <c r="E227" s="154"/>
      <c r="F227" s="1775"/>
      <c r="G227" s="155"/>
      <c r="H227" s="156"/>
      <c r="I227" s="154"/>
      <c r="J227" s="157"/>
      <c r="K227" s="156"/>
      <c r="L227" s="154"/>
      <c r="M227" s="609" t="str">
        <f>IF(L227="","",IF(E227="","",IF('1B.TransitionalProg'!$H$8&gt;0,"",VLOOKUP($E227,' 1A.Prop&amp;Residents'!$P$41:$R$47,2,FALSE))))</f>
        <v/>
      </c>
      <c r="N227" s="609" t="str">
        <f>IF(L227="","",IF(E227="","",IF('1B.TransitionalProg'!$H$8&gt;0,"",VLOOKUP($E227,' 1A.Prop&amp;Residents'!$P$41:$R$47,3,FALSE))))</f>
        <v/>
      </c>
      <c r="O227" s="610" t="str">
        <f>IF(L227="", "", IF(E227="", "", IF('1B.TransitionalProg'!$H$8&gt;0,"",IF(L227&lt;M227,"overHOUSED?",IF(L227&gt;N227, "OVERcrowded?","")))))</f>
        <v/>
      </c>
      <c r="P227" s="623"/>
      <c r="Q227" s="154"/>
      <c r="R227" s="154"/>
      <c r="S227" s="156"/>
      <c r="T227" s="156"/>
      <c r="U227" s="156"/>
      <c r="V227" s="156"/>
      <c r="W227" s="1580" t="str">
        <f t="shared" si="9"/>
        <v/>
      </c>
      <c r="X227" s="155"/>
      <c r="Y227" s="156"/>
      <c r="Z227" s="233" t="str">
        <f t="shared" si="10"/>
        <v/>
      </c>
      <c r="AA227" s="1447">
        <f>VLOOKUP($C227,'3B.Demographic'!$C$15:$N$414,6,FALSE)</f>
        <v>0</v>
      </c>
      <c r="AB227" s="1447">
        <f>VLOOKUP($C227,'3B.Demographic'!$C$15:$N$414,7,FALSE)</f>
        <v>0</v>
      </c>
      <c r="AC227" s="1447">
        <f>VLOOKUP($C227,'3B.Demographic'!$C$15:$N$414,8,FALSE)</f>
        <v>0</v>
      </c>
      <c r="AD227" s="1447">
        <f>VLOOKUP($C227,'3B.Demographic'!$C$15:$N$414,9,FALSE)</f>
        <v>0</v>
      </c>
      <c r="AE227" s="1447">
        <f>VLOOKUP($C227,'3B.Demographic'!$C$15:$N$414,10,FALSE)</f>
        <v>0</v>
      </c>
      <c r="AF227" s="1475">
        <f>VLOOKUP($C227,'3B.Demographic'!$C$15:$N$414,11,FALSE)</f>
        <v>0</v>
      </c>
      <c r="AG227" s="1229">
        <f>VLOOKUP($C227,'3B.Demographic'!$C$15:$N$414,12,FALSE)</f>
        <v>0</v>
      </c>
    </row>
    <row r="228" spans="1:33" ht="20.100000000000001" customHeight="1">
      <c r="A228" s="217" t="str">
        <f>IF(D228&lt;&gt;"", ' 1A.Prop&amp;Residents'!$B$7, "")</f>
        <v/>
      </c>
      <c r="B228" s="217" t="str">
        <f t="shared" si="11"/>
        <v/>
      </c>
      <c r="C228" s="34">
        <v>214</v>
      </c>
      <c r="D228" s="153"/>
      <c r="E228" s="154"/>
      <c r="F228" s="1775"/>
      <c r="G228" s="155"/>
      <c r="H228" s="156"/>
      <c r="I228" s="154"/>
      <c r="J228" s="157"/>
      <c r="K228" s="156"/>
      <c r="L228" s="154"/>
      <c r="M228" s="609" t="str">
        <f>IF(L228="","",IF(E228="","",IF('1B.TransitionalProg'!$H$8&gt;0,"",VLOOKUP($E228,' 1A.Prop&amp;Residents'!$P$41:$R$47,2,FALSE))))</f>
        <v/>
      </c>
      <c r="N228" s="609" t="str">
        <f>IF(L228="","",IF(E228="","",IF('1B.TransitionalProg'!$H$8&gt;0,"",VLOOKUP($E228,' 1A.Prop&amp;Residents'!$P$41:$R$47,3,FALSE))))</f>
        <v/>
      </c>
      <c r="O228" s="610" t="str">
        <f>IF(L228="", "", IF(E228="", "", IF('1B.TransitionalProg'!$H$8&gt;0,"",IF(L228&lt;M228,"overHOUSED?",IF(L228&gt;N228, "OVERcrowded?","")))))</f>
        <v/>
      </c>
      <c r="P228" s="623"/>
      <c r="Q228" s="154"/>
      <c r="R228" s="154"/>
      <c r="S228" s="156"/>
      <c r="T228" s="156"/>
      <c r="U228" s="156"/>
      <c r="V228" s="156"/>
      <c r="W228" s="1580" t="str">
        <f t="shared" si="9"/>
        <v/>
      </c>
      <c r="X228" s="155"/>
      <c r="Y228" s="156"/>
      <c r="Z228" s="233" t="str">
        <f t="shared" si="10"/>
        <v/>
      </c>
      <c r="AA228" s="1447">
        <f>VLOOKUP($C228,'3B.Demographic'!$C$15:$N$414,6,FALSE)</f>
        <v>0</v>
      </c>
      <c r="AB228" s="1447">
        <f>VLOOKUP($C228,'3B.Demographic'!$C$15:$N$414,7,FALSE)</f>
        <v>0</v>
      </c>
      <c r="AC228" s="1447">
        <f>VLOOKUP($C228,'3B.Demographic'!$C$15:$N$414,8,FALSE)</f>
        <v>0</v>
      </c>
      <c r="AD228" s="1447">
        <f>VLOOKUP($C228,'3B.Demographic'!$C$15:$N$414,9,FALSE)</f>
        <v>0</v>
      </c>
      <c r="AE228" s="1447">
        <f>VLOOKUP($C228,'3B.Demographic'!$C$15:$N$414,10,FALSE)</f>
        <v>0</v>
      </c>
      <c r="AF228" s="1475">
        <f>VLOOKUP($C228,'3B.Demographic'!$C$15:$N$414,11,FALSE)</f>
        <v>0</v>
      </c>
      <c r="AG228" s="1229">
        <f>VLOOKUP($C228,'3B.Demographic'!$C$15:$N$414,12,FALSE)</f>
        <v>0</v>
      </c>
    </row>
    <row r="229" spans="1:33" ht="20.100000000000001" customHeight="1">
      <c r="A229" s="217" t="str">
        <f>IF(D229&lt;&gt;"", ' 1A.Prop&amp;Residents'!$B$7, "")</f>
        <v/>
      </c>
      <c r="B229" s="217" t="str">
        <f t="shared" si="11"/>
        <v/>
      </c>
      <c r="C229" s="34">
        <v>215</v>
      </c>
      <c r="D229" s="153"/>
      <c r="E229" s="154"/>
      <c r="F229" s="1775"/>
      <c r="G229" s="155"/>
      <c r="H229" s="156"/>
      <c r="I229" s="154"/>
      <c r="J229" s="157"/>
      <c r="K229" s="156"/>
      <c r="L229" s="154"/>
      <c r="M229" s="609" t="str">
        <f>IF(L229="","",IF(E229="","",IF('1B.TransitionalProg'!$H$8&gt;0,"",VLOOKUP($E229,' 1A.Prop&amp;Residents'!$P$41:$R$47,2,FALSE))))</f>
        <v/>
      </c>
      <c r="N229" s="609" t="str">
        <f>IF(L229="","",IF(E229="","",IF('1B.TransitionalProg'!$H$8&gt;0,"",VLOOKUP($E229,' 1A.Prop&amp;Residents'!$P$41:$R$47,3,FALSE))))</f>
        <v/>
      </c>
      <c r="O229" s="610" t="str">
        <f>IF(L229="", "", IF(E229="", "", IF('1B.TransitionalProg'!$H$8&gt;0,"",IF(L229&lt;M229,"overHOUSED?",IF(L229&gt;N229, "OVERcrowded?","")))))</f>
        <v/>
      </c>
      <c r="P229" s="623"/>
      <c r="Q229" s="154"/>
      <c r="R229" s="154"/>
      <c r="S229" s="156"/>
      <c r="T229" s="156"/>
      <c r="U229" s="156"/>
      <c r="V229" s="156"/>
      <c r="W229" s="1580" t="str">
        <f t="shared" si="9"/>
        <v/>
      </c>
      <c r="X229" s="155"/>
      <c r="Y229" s="156"/>
      <c r="Z229" s="233" t="str">
        <f t="shared" si="10"/>
        <v/>
      </c>
      <c r="AA229" s="1447">
        <f>VLOOKUP($C229,'3B.Demographic'!$C$15:$N$414,6,FALSE)</f>
        <v>0</v>
      </c>
      <c r="AB229" s="1447">
        <f>VLOOKUP($C229,'3B.Demographic'!$C$15:$N$414,7,FALSE)</f>
        <v>0</v>
      </c>
      <c r="AC229" s="1447">
        <f>VLOOKUP($C229,'3B.Demographic'!$C$15:$N$414,8,FALSE)</f>
        <v>0</v>
      </c>
      <c r="AD229" s="1447">
        <f>VLOOKUP($C229,'3B.Demographic'!$C$15:$N$414,9,FALSE)</f>
        <v>0</v>
      </c>
      <c r="AE229" s="1447">
        <f>VLOOKUP($C229,'3B.Demographic'!$C$15:$N$414,10,FALSE)</f>
        <v>0</v>
      </c>
      <c r="AF229" s="1475">
        <f>VLOOKUP($C229,'3B.Demographic'!$C$15:$N$414,11,FALSE)</f>
        <v>0</v>
      </c>
      <c r="AG229" s="1229">
        <f>VLOOKUP($C229,'3B.Demographic'!$C$15:$N$414,12,FALSE)</f>
        <v>0</v>
      </c>
    </row>
    <row r="230" spans="1:33" ht="20.100000000000001" customHeight="1">
      <c r="A230" s="217" t="str">
        <f>IF(D230&lt;&gt;"", ' 1A.Prop&amp;Residents'!$B$7, "")</f>
        <v/>
      </c>
      <c r="B230" s="217" t="str">
        <f t="shared" si="11"/>
        <v/>
      </c>
      <c r="C230" s="34">
        <v>216</v>
      </c>
      <c r="D230" s="153"/>
      <c r="E230" s="154"/>
      <c r="F230" s="1775"/>
      <c r="G230" s="155"/>
      <c r="H230" s="156"/>
      <c r="I230" s="154"/>
      <c r="J230" s="157"/>
      <c r="K230" s="156"/>
      <c r="L230" s="154"/>
      <c r="M230" s="609" t="str">
        <f>IF(L230="","",IF(E230="","",IF('1B.TransitionalProg'!$H$8&gt;0,"",VLOOKUP($E230,' 1A.Prop&amp;Residents'!$P$41:$R$47,2,FALSE))))</f>
        <v/>
      </c>
      <c r="N230" s="609" t="str">
        <f>IF(L230="","",IF(E230="","",IF('1B.TransitionalProg'!$H$8&gt;0,"",VLOOKUP($E230,' 1A.Prop&amp;Residents'!$P$41:$R$47,3,FALSE))))</f>
        <v/>
      </c>
      <c r="O230" s="610" t="str">
        <f>IF(L230="", "", IF(E230="", "", IF('1B.TransitionalProg'!$H$8&gt;0,"",IF(L230&lt;M230,"overHOUSED?",IF(L230&gt;N230, "OVERcrowded?","")))))</f>
        <v/>
      </c>
      <c r="P230" s="623"/>
      <c r="Q230" s="154"/>
      <c r="R230" s="154"/>
      <c r="S230" s="156"/>
      <c r="T230" s="156"/>
      <c r="U230" s="156"/>
      <c r="V230" s="156"/>
      <c r="W230" s="1580" t="str">
        <f t="shared" si="9"/>
        <v/>
      </c>
      <c r="X230" s="155"/>
      <c r="Y230" s="156"/>
      <c r="Z230" s="233" t="str">
        <f t="shared" si="10"/>
        <v/>
      </c>
      <c r="AA230" s="1447">
        <f>VLOOKUP($C230,'3B.Demographic'!$C$15:$N$414,6,FALSE)</f>
        <v>0</v>
      </c>
      <c r="AB230" s="1447">
        <f>VLOOKUP($C230,'3B.Demographic'!$C$15:$N$414,7,FALSE)</f>
        <v>0</v>
      </c>
      <c r="AC230" s="1447">
        <f>VLOOKUP($C230,'3B.Demographic'!$C$15:$N$414,8,FALSE)</f>
        <v>0</v>
      </c>
      <c r="AD230" s="1447">
        <f>VLOOKUP($C230,'3B.Demographic'!$C$15:$N$414,9,FALSE)</f>
        <v>0</v>
      </c>
      <c r="AE230" s="1447">
        <f>VLOOKUP($C230,'3B.Demographic'!$C$15:$N$414,10,FALSE)</f>
        <v>0</v>
      </c>
      <c r="AF230" s="1475">
        <f>VLOOKUP($C230,'3B.Demographic'!$C$15:$N$414,11,FALSE)</f>
        <v>0</v>
      </c>
      <c r="AG230" s="1229">
        <f>VLOOKUP($C230,'3B.Demographic'!$C$15:$N$414,12,FALSE)</f>
        <v>0</v>
      </c>
    </row>
    <row r="231" spans="1:33" ht="20.100000000000001" customHeight="1">
      <c r="A231" s="217" t="str">
        <f>IF(D231&lt;&gt;"", ' 1A.Prop&amp;Residents'!$B$7, "")</f>
        <v/>
      </c>
      <c r="B231" s="217" t="str">
        <f t="shared" si="11"/>
        <v/>
      </c>
      <c r="C231" s="34">
        <v>217</v>
      </c>
      <c r="D231" s="153"/>
      <c r="E231" s="154"/>
      <c r="F231" s="1775"/>
      <c r="G231" s="155"/>
      <c r="H231" s="156"/>
      <c r="I231" s="154"/>
      <c r="J231" s="157"/>
      <c r="K231" s="156"/>
      <c r="L231" s="154"/>
      <c r="M231" s="609" t="str">
        <f>IF(L231="","",IF(E231="","",IF('1B.TransitionalProg'!$H$8&gt;0,"",VLOOKUP($E231,' 1A.Prop&amp;Residents'!$P$41:$R$47,2,FALSE))))</f>
        <v/>
      </c>
      <c r="N231" s="609" t="str">
        <f>IF(L231="","",IF(E231="","",IF('1B.TransitionalProg'!$H$8&gt;0,"",VLOOKUP($E231,' 1A.Prop&amp;Residents'!$P$41:$R$47,3,FALSE))))</f>
        <v/>
      </c>
      <c r="O231" s="610" t="str">
        <f>IF(L231="", "", IF(E231="", "", IF('1B.TransitionalProg'!$H$8&gt;0,"",IF(L231&lt;M231,"overHOUSED?",IF(L231&gt;N231, "OVERcrowded?","")))))</f>
        <v/>
      </c>
      <c r="P231" s="623"/>
      <c r="Q231" s="154"/>
      <c r="R231" s="154"/>
      <c r="S231" s="156"/>
      <c r="T231" s="156"/>
      <c r="U231" s="156"/>
      <c r="V231" s="156"/>
      <c r="W231" s="1580" t="str">
        <f t="shared" si="9"/>
        <v/>
      </c>
      <c r="X231" s="155"/>
      <c r="Y231" s="156"/>
      <c r="Z231" s="233" t="str">
        <f t="shared" si="10"/>
        <v/>
      </c>
      <c r="AA231" s="1447">
        <f>VLOOKUP($C231,'3B.Demographic'!$C$15:$N$414,6,FALSE)</f>
        <v>0</v>
      </c>
      <c r="AB231" s="1447">
        <f>VLOOKUP($C231,'3B.Demographic'!$C$15:$N$414,7,FALSE)</f>
        <v>0</v>
      </c>
      <c r="AC231" s="1447">
        <f>VLOOKUP($C231,'3B.Demographic'!$C$15:$N$414,8,FALSE)</f>
        <v>0</v>
      </c>
      <c r="AD231" s="1447">
        <f>VLOOKUP($C231,'3B.Demographic'!$C$15:$N$414,9,FALSE)</f>
        <v>0</v>
      </c>
      <c r="AE231" s="1447">
        <f>VLOOKUP($C231,'3B.Demographic'!$C$15:$N$414,10,FALSE)</f>
        <v>0</v>
      </c>
      <c r="AF231" s="1475">
        <f>VLOOKUP($C231,'3B.Demographic'!$C$15:$N$414,11,FALSE)</f>
        <v>0</v>
      </c>
      <c r="AG231" s="1229">
        <f>VLOOKUP($C231,'3B.Demographic'!$C$15:$N$414,12,FALSE)</f>
        <v>0</v>
      </c>
    </row>
    <row r="232" spans="1:33" ht="20.100000000000001" customHeight="1">
      <c r="A232" s="217" t="str">
        <f>IF(D232&lt;&gt;"", ' 1A.Prop&amp;Residents'!$B$7, "")</f>
        <v/>
      </c>
      <c r="B232" s="217" t="str">
        <f t="shared" si="11"/>
        <v/>
      </c>
      <c r="C232" s="34">
        <v>218</v>
      </c>
      <c r="D232" s="153"/>
      <c r="E232" s="154"/>
      <c r="F232" s="1775"/>
      <c r="G232" s="155"/>
      <c r="H232" s="156"/>
      <c r="I232" s="154"/>
      <c r="J232" s="157"/>
      <c r="K232" s="156"/>
      <c r="L232" s="154"/>
      <c r="M232" s="609" t="str">
        <f>IF(L232="","",IF(E232="","",IF('1B.TransitionalProg'!$H$8&gt;0,"",VLOOKUP($E232,' 1A.Prop&amp;Residents'!$P$41:$R$47,2,FALSE))))</f>
        <v/>
      </c>
      <c r="N232" s="609" t="str">
        <f>IF(L232="","",IF(E232="","",IF('1B.TransitionalProg'!$H$8&gt;0,"",VLOOKUP($E232,' 1A.Prop&amp;Residents'!$P$41:$R$47,3,FALSE))))</f>
        <v/>
      </c>
      <c r="O232" s="610" t="str">
        <f>IF(L232="", "", IF(E232="", "", IF('1B.TransitionalProg'!$H$8&gt;0,"",IF(L232&lt;M232,"overHOUSED?",IF(L232&gt;N232, "OVERcrowded?","")))))</f>
        <v/>
      </c>
      <c r="P232" s="623"/>
      <c r="Q232" s="154"/>
      <c r="R232" s="154"/>
      <c r="S232" s="156"/>
      <c r="T232" s="156"/>
      <c r="U232" s="156"/>
      <c r="V232" s="156"/>
      <c r="W232" s="1580" t="str">
        <f t="shared" si="9"/>
        <v/>
      </c>
      <c r="X232" s="155"/>
      <c r="Y232" s="156"/>
      <c r="Z232" s="233" t="str">
        <f t="shared" si="10"/>
        <v/>
      </c>
      <c r="AA232" s="1447">
        <f>VLOOKUP($C232,'3B.Demographic'!$C$15:$N$414,6,FALSE)</f>
        <v>0</v>
      </c>
      <c r="AB232" s="1447">
        <f>VLOOKUP($C232,'3B.Demographic'!$C$15:$N$414,7,FALSE)</f>
        <v>0</v>
      </c>
      <c r="AC232" s="1447">
        <f>VLOOKUP($C232,'3B.Demographic'!$C$15:$N$414,8,FALSE)</f>
        <v>0</v>
      </c>
      <c r="AD232" s="1447">
        <f>VLOOKUP($C232,'3B.Demographic'!$C$15:$N$414,9,FALSE)</f>
        <v>0</v>
      </c>
      <c r="AE232" s="1447">
        <f>VLOOKUP($C232,'3B.Demographic'!$C$15:$N$414,10,FALSE)</f>
        <v>0</v>
      </c>
      <c r="AF232" s="1475">
        <f>VLOOKUP($C232,'3B.Demographic'!$C$15:$N$414,11,FALSE)</f>
        <v>0</v>
      </c>
      <c r="AG232" s="1229">
        <f>VLOOKUP($C232,'3B.Demographic'!$C$15:$N$414,12,FALSE)</f>
        <v>0</v>
      </c>
    </row>
    <row r="233" spans="1:33" ht="20.100000000000001" customHeight="1">
      <c r="A233" s="217" t="str">
        <f>IF(D233&lt;&gt;"", ' 1A.Prop&amp;Residents'!$B$7, "")</f>
        <v/>
      </c>
      <c r="B233" s="217" t="str">
        <f t="shared" si="11"/>
        <v/>
      </c>
      <c r="C233" s="34">
        <v>219</v>
      </c>
      <c r="D233" s="153"/>
      <c r="E233" s="154"/>
      <c r="F233" s="1775"/>
      <c r="G233" s="155"/>
      <c r="H233" s="156"/>
      <c r="I233" s="154"/>
      <c r="J233" s="157"/>
      <c r="K233" s="156"/>
      <c r="L233" s="154"/>
      <c r="M233" s="609" t="str">
        <f>IF(L233="","",IF(E233="","",IF('1B.TransitionalProg'!$H$8&gt;0,"",VLOOKUP($E233,' 1A.Prop&amp;Residents'!$P$41:$R$47,2,FALSE))))</f>
        <v/>
      </c>
      <c r="N233" s="609" t="str">
        <f>IF(L233="","",IF(E233="","",IF('1B.TransitionalProg'!$H$8&gt;0,"",VLOOKUP($E233,' 1A.Prop&amp;Residents'!$P$41:$R$47,3,FALSE))))</f>
        <v/>
      </c>
      <c r="O233" s="610" t="str">
        <f>IF(L233="", "", IF(E233="", "", IF('1B.TransitionalProg'!$H$8&gt;0,"",IF(L233&lt;M233,"overHOUSED?",IF(L233&gt;N233, "OVERcrowded?","")))))</f>
        <v/>
      </c>
      <c r="P233" s="623"/>
      <c r="Q233" s="154"/>
      <c r="R233" s="154"/>
      <c r="S233" s="156"/>
      <c r="T233" s="156"/>
      <c r="U233" s="156"/>
      <c r="V233" s="156"/>
      <c r="W233" s="1580" t="str">
        <f t="shared" si="9"/>
        <v/>
      </c>
      <c r="X233" s="155"/>
      <c r="Y233" s="156"/>
      <c r="Z233" s="233" t="str">
        <f t="shared" si="10"/>
        <v/>
      </c>
      <c r="AA233" s="1447">
        <f>VLOOKUP($C233,'3B.Demographic'!$C$15:$N$414,6,FALSE)</f>
        <v>0</v>
      </c>
      <c r="AB233" s="1447">
        <f>VLOOKUP($C233,'3B.Demographic'!$C$15:$N$414,7,FALSE)</f>
        <v>0</v>
      </c>
      <c r="AC233" s="1447">
        <f>VLOOKUP($C233,'3B.Demographic'!$C$15:$N$414,8,FALSE)</f>
        <v>0</v>
      </c>
      <c r="AD233" s="1447">
        <f>VLOOKUP($C233,'3B.Demographic'!$C$15:$N$414,9,FALSE)</f>
        <v>0</v>
      </c>
      <c r="AE233" s="1447">
        <f>VLOOKUP($C233,'3B.Demographic'!$C$15:$N$414,10,FALSE)</f>
        <v>0</v>
      </c>
      <c r="AF233" s="1475">
        <f>VLOOKUP($C233,'3B.Demographic'!$C$15:$N$414,11,FALSE)</f>
        <v>0</v>
      </c>
      <c r="AG233" s="1229">
        <f>VLOOKUP($C233,'3B.Demographic'!$C$15:$N$414,12,FALSE)</f>
        <v>0</v>
      </c>
    </row>
    <row r="234" spans="1:33" ht="20.100000000000001" customHeight="1">
      <c r="A234" s="217" t="str">
        <f>IF(D234&lt;&gt;"", ' 1A.Prop&amp;Residents'!$B$7, "")</f>
        <v/>
      </c>
      <c r="B234" s="217" t="str">
        <f t="shared" si="11"/>
        <v/>
      </c>
      <c r="C234" s="34">
        <v>220</v>
      </c>
      <c r="D234" s="153"/>
      <c r="E234" s="154"/>
      <c r="F234" s="1775"/>
      <c r="G234" s="155"/>
      <c r="H234" s="156"/>
      <c r="I234" s="154"/>
      <c r="J234" s="157"/>
      <c r="K234" s="156"/>
      <c r="L234" s="154"/>
      <c r="M234" s="609" t="str">
        <f>IF(L234="","",IF(E234="","",IF('1B.TransitionalProg'!$H$8&gt;0,"",VLOOKUP($E234,' 1A.Prop&amp;Residents'!$P$41:$R$47,2,FALSE))))</f>
        <v/>
      </c>
      <c r="N234" s="609" t="str">
        <f>IF(L234="","",IF(E234="","",IF('1B.TransitionalProg'!$H$8&gt;0,"",VLOOKUP($E234,' 1A.Prop&amp;Residents'!$P$41:$R$47,3,FALSE))))</f>
        <v/>
      </c>
      <c r="O234" s="610" t="str">
        <f>IF(L234="", "", IF(E234="", "", IF('1B.TransitionalProg'!$H$8&gt;0,"",IF(L234&lt;M234,"overHOUSED?",IF(L234&gt;N234, "OVERcrowded?","")))))</f>
        <v/>
      </c>
      <c r="P234" s="623"/>
      <c r="Q234" s="154"/>
      <c r="R234" s="154"/>
      <c r="S234" s="156"/>
      <c r="T234" s="156"/>
      <c r="U234" s="156"/>
      <c r="V234" s="156"/>
      <c r="W234" s="1580" t="str">
        <f t="shared" si="9"/>
        <v/>
      </c>
      <c r="X234" s="155"/>
      <c r="Y234" s="156"/>
      <c r="Z234" s="233" t="str">
        <f t="shared" si="10"/>
        <v/>
      </c>
      <c r="AA234" s="1447">
        <f>VLOOKUP($C234,'3B.Demographic'!$C$15:$N$414,6,FALSE)</f>
        <v>0</v>
      </c>
      <c r="AB234" s="1447">
        <f>VLOOKUP($C234,'3B.Demographic'!$C$15:$N$414,7,FALSE)</f>
        <v>0</v>
      </c>
      <c r="AC234" s="1447">
        <f>VLOOKUP($C234,'3B.Demographic'!$C$15:$N$414,8,FALSE)</f>
        <v>0</v>
      </c>
      <c r="AD234" s="1447">
        <f>VLOOKUP($C234,'3B.Demographic'!$C$15:$N$414,9,FALSE)</f>
        <v>0</v>
      </c>
      <c r="AE234" s="1447">
        <f>VLOOKUP($C234,'3B.Demographic'!$C$15:$N$414,10,FALSE)</f>
        <v>0</v>
      </c>
      <c r="AF234" s="1475">
        <f>VLOOKUP($C234,'3B.Demographic'!$C$15:$N$414,11,FALSE)</f>
        <v>0</v>
      </c>
      <c r="AG234" s="1229">
        <f>VLOOKUP($C234,'3B.Demographic'!$C$15:$N$414,12,FALSE)</f>
        <v>0</v>
      </c>
    </row>
    <row r="235" spans="1:33" ht="20.100000000000001" customHeight="1">
      <c r="A235" s="217" t="str">
        <f>IF(D235&lt;&gt;"", ' 1A.Prop&amp;Residents'!$B$7, "")</f>
        <v/>
      </c>
      <c r="B235" s="217" t="str">
        <f t="shared" si="11"/>
        <v/>
      </c>
      <c r="C235" s="34">
        <v>221</v>
      </c>
      <c r="D235" s="153"/>
      <c r="E235" s="154"/>
      <c r="F235" s="1775"/>
      <c r="G235" s="155"/>
      <c r="H235" s="156"/>
      <c r="I235" s="154"/>
      <c r="J235" s="157"/>
      <c r="K235" s="156"/>
      <c r="L235" s="154"/>
      <c r="M235" s="609" t="str">
        <f>IF(L235="","",IF(E235="","",IF('1B.TransitionalProg'!$H$8&gt;0,"",VLOOKUP($E235,' 1A.Prop&amp;Residents'!$P$41:$R$47,2,FALSE))))</f>
        <v/>
      </c>
      <c r="N235" s="609" t="str">
        <f>IF(L235="","",IF(E235="","",IF('1B.TransitionalProg'!$H$8&gt;0,"",VLOOKUP($E235,' 1A.Prop&amp;Residents'!$P$41:$R$47,3,FALSE))))</f>
        <v/>
      </c>
      <c r="O235" s="610" t="str">
        <f>IF(L235="", "", IF(E235="", "", IF('1B.TransitionalProg'!$H$8&gt;0,"",IF(L235&lt;M235,"overHOUSED?",IF(L235&gt;N235, "OVERcrowded?","")))))</f>
        <v/>
      </c>
      <c r="P235" s="623"/>
      <c r="Q235" s="154"/>
      <c r="R235" s="154"/>
      <c r="S235" s="156"/>
      <c r="T235" s="156"/>
      <c r="U235" s="156"/>
      <c r="V235" s="156"/>
      <c r="W235" s="1580" t="str">
        <f t="shared" si="9"/>
        <v/>
      </c>
      <c r="X235" s="155"/>
      <c r="Y235" s="156"/>
      <c r="Z235" s="233" t="str">
        <f t="shared" si="10"/>
        <v/>
      </c>
      <c r="AA235" s="1447">
        <f>VLOOKUP($C235,'3B.Demographic'!$C$15:$N$414,6,FALSE)</f>
        <v>0</v>
      </c>
      <c r="AB235" s="1447">
        <f>VLOOKUP($C235,'3B.Demographic'!$C$15:$N$414,7,FALSE)</f>
        <v>0</v>
      </c>
      <c r="AC235" s="1447">
        <f>VLOOKUP($C235,'3B.Demographic'!$C$15:$N$414,8,FALSE)</f>
        <v>0</v>
      </c>
      <c r="AD235" s="1447">
        <f>VLOOKUP($C235,'3B.Demographic'!$C$15:$N$414,9,FALSE)</f>
        <v>0</v>
      </c>
      <c r="AE235" s="1447">
        <f>VLOOKUP($C235,'3B.Demographic'!$C$15:$N$414,10,FALSE)</f>
        <v>0</v>
      </c>
      <c r="AF235" s="1475">
        <f>VLOOKUP($C235,'3B.Demographic'!$C$15:$N$414,11,FALSE)</f>
        <v>0</v>
      </c>
      <c r="AG235" s="1229">
        <f>VLOOKUP($C235,'3B.Demographic'!$C$15:$N$414,12,FALSE)</f>
        <v>0</v>
      </c>
    </row>
    <row r="236" spans="1:33" ht="20.100000000000001" customHeight="1">
      <c r="A236" s="217" t="str">
        <f>IF(D236&lt;&gt;"", ' 1A.Prop&amp;Residents'!$B$7, "")</f>
        <v/>
      </c>
      <c r="B236" s="217" t="str">
        <f t="shared" si="11"/>
        <v/>
      </c>
      <c r="C236" s="34">
        <v>222</v>
      </c>
      <c r="D236" s="153"/>
      <c r="E236" s="154"/>
      <c r="F236" s="1775"/>
      <c r="G236" s="155"/>
      <c r="H236" s="156"/>
      <c r="I236" s="154"/>
      <c r="J236" s="157"/>
      <c r="K236" s="156"/>
      <c r="L236" s="154"/>
      <c r="M236" s="609" t="str">
        <f>IF(L236="","",IF(E236="","",IF('1B.TransitionalProg'!$H$8&gt;0,"",VLOOKUP($E236,' 1A.Prop&amp;Residents'!$P$41:$R$47,2,FALSE))))</f>
        <v/>
      </c>
      <c r="N236" s="609" t="str">
        <f>IF(L236="","",IF(E236="","",IF('1B.TransitionalProg'!$H$8&gt;0,"",VLOOKUP($E236,' 1A.Prop&amp;Residents'!$P$41:$R$47,3,FALSE))))</f>
        <v/>
      </c>
      <c r="O236" s="610" t="str">
        <f>IF(L236="", "", IF(E236="", "", IF('1B.TransitionalProg'!$H$8&gt;0,"",IF(L236&lt;M236,"overHOUSED?",IF(L236&gt;N236, "OVERcrowded?","")))))</f>
        <v/>
      </c>
      <c r="P236" s="623"/>
      <c r="Q236" s="154"/>
      <c r="R236" s="154"/>
      <c r="S236" s="156"/>
      <c r="T236" s="156"/>
      <c r="U236" s="156"/>
      <c r="V236" s="156"/>
      <c r="W236" s="1580" t="str">
        <f t="shared" si="9"/>
        <v/>
      </c>
      <c r="X236" s="155"/>
      <c r="Y236" s="156"/>
      <c r="Z236" s="233" t="str">
        <f t="shared" si="10"/>
        <v/>
      </c>
      <c r="AA236" s="1447">
        <f>VLOOKUP($C236,'3B.Demographic'!$C$15:$N$414,6,FALSE)</f>
        <v>0</v>
      </c>
      <c r="AB236" s="1447">
        <f>VLOOKUP($C236,'3B.Demographic'!$C$15:$N$414,7,FALSE)</f>
        <v>0</v>
      </c>
      <c r="AC236" s="1447">
        <f>VLOOKUP($C236,'3B.Demographic'!$C$15:$N$414,8,FALSE)</f>
        <v>0</v>
      </c>
      <c r="AD236" s="1447">
        <f>VLOOKUP($C236,'3B.Demographic'!$C$15:$N$414,9,FALSE)</f>
        <v>0</v>
      </c>
      <c r="AE236" s="1447">
        <f>VLOOKUP($C236,'3B.Demographic'!$C$15:$N$414,10,FALSE)</f>
        <v>0</v>
      </c>
      <c r="AF236" s="1475">
        <f>VLOOKUP($C236,'3B.Demographic'!$C$15:$N$414,11,FALSE)</f>
        <v>0</v>
      </c>
      <c r="AG236" s="1229">
        <f>VLOOKUP($C236,'3B.Demographic'!$C$15:$N$414,12,FALSE)</f>
        <v>0</v>
      </c>
    </row>
    <row r="237" spans="1:33" ht="20.100000000000001" customHeight="1">
      <c r="A237" s="217" t="str">
        <f>IF(D237&lt;&gt;"", ' 1A.Prop&amp;Residents'!$B$7, "")</f>
        <v/>
      </c>
      <c r="B237" s="217" t="str">
        <f t="shared" si="11"/>
        <v/>
      </c>
      <c r="C237" s="34">
        <v>223</v>
      </c>
      <c r="D237" s="153"/>
      <c r="E237" s="154"/>
      <c r="F237" s="1775"/>
      <c r="G237" s="155"/>
      <c r="H237" s="156"/>
      <c r="I237" s="154"/>
      <c r="J237" s="157"/>
      <c r="K237" s="156"/>
      <c r="L237" s="154"/>
      <c r="M237" s="609" t="str">
        <f>IF(L237="","",IF(E237="","",IF('1B.TransitionalProg'!$H$8&gt;0,"",VLOOKUP($E237,' 1A.Prop&amp;Residents'!$P$41:$R$47,2,FALSE))))</f>
        <v/>
      </c>
      <c r="N237" s="609" t="str">
        <f>IF(L237="","",IF(E237="","",IF('1B.TransitionalProg'!$H$8&gt;0,"",VLOOKUP($E237,' 1A.Prop&amp;Residents'!$P$41:$R$47,3,FALSE))))</f>
        <v/>
      </c>
      <c r="O237" s="610" t="str">
        <f>IF(L237="", "", IF(E237="", "", IF('1B.TransitionalProg'!$H$8&gt;0,"",IF(L237&lt;M237,"overHOUSED?",IF(L237&gt;N237, "OVERcrowded?","")))))</f>
        <v/>
      </c>
      <c r="P237" s="623"/>
      <c r="Q237" s="154"/>
      <c r="R237" s="154"/>
      <c r="S237" s="156"/>
      <c r="T237" s="156"/>
      <c r="U237" s="156"/>
      <c r="V237" s="156"/>
      <c r="W237" s="1580" t="str">
        <f t="shared" si="9"/>
        <v/>
      </c>
      <c r="X237" s="155"/>
      <c r="Y237" s="156"/>
      <c r="Z237" s="233" t="str">
        <f t="shared" si="10"/>
        <v/>
      </c>
      <c r="AA237" s="1447">
        <f>VLOOKUP($C237,'3B.Demographic'!$C$15:$N$414,6,FALSE)</f>
        <v>0</v>
      </c>
      <c r="AB237" s="1447">
        <f>VLOOKUP($C237,'3B.Demographic'!$C$15:$N$414,7,FALSE)</f>
        <v>0</v>
      </c>
      <c r="AC237" s="1447">
        <f>VLOOKUP($C237,'3B.Demographic'!$C$15:$N$414,8,FALSE)</f>
        <v>0</v>
      </c>
      <c r="AD237" s="1447">
        <f>VLOOKUP($C237,'3B.Demographic'!$C$15:$N$414,9,FALSE)</f>
        <v>0</v>
      </c>
      <c r="AE237" s="1447">
        <f>VLOOKUP($C237,'3B.Demographic'!$C$15:$N$414,10,FALSE)</f>
        <v>0</v>
      </c>
      <c r="AF237" s="1475">
        <f>VLOOKUP($C237,'3B.Demographic'!$C$15:$N$414,11,FALSE)</f>
        <v>0</v>
      </c>
      <c r="AG237" s="1229">
        <f>VLOOKUP($C237,'3B.Demographic'!$C$15:$N$414,12,FALSE)</f>
        <v>0</v>
      </c>
    </row>
    <row r="238" spans="1:33" ht="20.100000000000001" customHeight="1">
      <c r="A238" s="217" t="str">
        <f>IF(D238&lt;&gt;"", ' 1A.Prop&amp;Residents'!$B$7, "")</f>
        <v/>
      </c>
      <c r="B238" s="217" t="str">
        <f t="shared" si="11"/>
        <v/>
      </c>
      <c r="C238" s="34">
        <v>224</v>
      </c>
      <c r="D238" s="153"/>
      <c r="E238" s="154"/>
      <c r="F238" s="1775"/>
      <c r="G238" s="155"/>
      <c r="H238" s="156"/>
      <c r="I238" s="154"/>
      <c r="J238" s="157"/>
      <c r="K238" s="156"/>
      <c r="L238" s="154"/>
      <c r="M238" s="609" t="str">
        <f>IF(L238="","",IF(E238="","",IF('1B.TransitionalProg'!$H$8&gt;0,"",VLOOKUP($E238,' 1A.Prop&amp;Residents'!$P$41:$R$47,2,FALSE))))</f>
        <v/>
      </c>
      <c r="N238" s="609" t="str">
        <f>IF(L238="","",IF(E238="","",IF('1B.TransitionalProg'!$H$8&gt;0,"",VLOOKUP($E238,' 1A.Prop&amp;Residents'!$P$41:$R$47,3,FALSE))))</f>
        <v/>
      </c>
      <c r="O238" s="610" t="str">
        <f>IF(L238="", "", IF(E238="", "", IF('1B.TransitionalProg'!$H$8&gt;0,"",IF(L238&lt;M238,"overHOUSED?",IF(L238&gt;N238, "OVERcrowded?","")))))</f>
        <v/>
      </c>
      <c r="P238" s="623"/>
      <c r="Q238" s="154"/>
      <c r="R238" s="154"/>
      <c r="S238" s="156"/>
      <c r="T238" s="156"/>
      <c r="U238" s="156"/>
      <c r="V238" s="156"/>
      <c r="W238" s="1580" t="str">
        <f t="shared" si="9"/>
        <v/>
      </c>
      <c r="X238" s="155"/>
      <c r="Y238" s="156"/>
      <c r="Z238" s="233" t="str">
        <f t="shared" si="10"/>
        <v/>
      </c>
      <c r="AA238" s="1447">
        <f>VLOOKUP($C238,'3B.Demographic'!$C$15:$N$414,6,FALSE)</f>
        <v>0</v>
      </c>
      <c r="AB238" s="1447">
        <f>VLOOKUP($C238,'3B.Demographic'!$C$15:$N$414,7,FALSE)</f>
        <v>0</v>
      </c>
      <c r="AC238" s="1447">
        <f>VLOOKUP($C238,'3B.Demographic'!$C$15:$N$414,8,FALSE)</f>
        <v>0</v>
      </c>
      <c r="AD238" s="1447">
        <f>VLOOKUP($C238,'3B.Demographic'!$C$15:$N$414,9,FALSE)</f>
        <v>0</v>
      </c>
      <c r="AE238" s="1447">
        <f>VLOOKUP($C238,'3B.Demographic'!$C$15:$N$414,10,FALSE)</f>
        <v>0</v>
      </c>
      <c r="AF238" s="1475">
        <f>VLOOKUP($C238,'3B.Demographic'!$C$15:$N$414,11,FALSE)</f>
        <v>0</v>
      </c>
      <c r="AG238" s="1229">
        <f>VLOOKUP($C238,'3B.Demographic'!$C$15:$N$414,12,FALSE)</f>
        <v>0</v>
      </c>
    </row>
    <row r="239" spans="1:33" ht="20.100000000000001" customHeight="1">
      <c r="A239" s="217" t="str">
        <f>IF(D239&lt;&gt;"", ' 1A.Prop&amp;Residents'!$B$7, "")</f>
        <v/>
      </c>
      <c r="B239" s="217" t="str">
        <f t="shared" si="11"/>
        <v/>
      </c>
      <c r="C239" s="34">
        <v>225</v>
      </c>
      <c r="D239" s="153"/>
      <c r="E239" s="154"/>
      <c r="F239" s="1775"/>
      <c r="G239" s="155"/>
      <c r="H239" s="156"/>
      <c r="I239" s="154"/>
      <c r="J239" s="157"/>
      <c r="K239" s="156"/>
      <c r="L239" s="154"/>
      <c r="M239" s="609" t="str">
        <f>IF(L239="","",IF(E239="","",IF('1B.TransitionalProg'!$H$8&gt;0,"",VLOOKUP($E239,' 1A.Prop&amp;Residents'!$P$41:$R$47,2,FALSE))))</f>
        <v/>
      </c>
      <c r="N239" s="609" t="str">
        <f>IF(L239="","",IF(E239="","",IF('1B.TransitionalProg'!$H$8&gt;0,"",VLOOKUP($E239,' 1A.Prop&amp;Residents'!$P$41:$R$47,3,FALSE))))</f>
        <v/>
      </c>
      <c r="O239" s="610" t="str">
        <f>IF(L239="", "", IF(E239="", "", IF('1B.TransitionalProg'!$H$8&gt;0,"",IF(L239&lt;M239,"overHOUSED?",IF(L239&gt;N239, "OVERcrowded?","")))))</f>
        <v/>
      </c>
      <c r="P239" s="623"/>
      <c r="Q239" s="154"/>
      <c r="R239" s="154"/>
      <c r="S239" s="156"/>
      <c r="T239" s="156"/>
      <c r="U239" s="156"/>
      <c r="V239" s="156"/>
      <c r="W239" s="1580" t="str">
        <f t="shared" si="9"/>
        <v/>
      </c>
      <c r="X239" s="155"/>
      <c r="Y239" s="156"/>
      <c r="Z239" s="233" t="str">
        <f t="shared" si="10"/>
        <v/>
      </c>
      <c r="AA239" s="1447">
        <f>VLOOKUP($C239,'3B.Demographic'!$C$15:$N$414,6,FALSE)</f>
        <v>0</v>
      </c>
      <c r="AB239" s="1447">
        <f>VLOOKUP($C239,'3B.Demographic'!$C$15:$N$414,7,FALSE)</f>
        <v>0</v>
      </c>
      <c r="AC239" s="1447">
        <f>VLOOKUP($C239,'3B.Demographic'!$C$15:$N$414,8,FALSE)</f>
        <v>0</v>
      </c>
      <c r="AD239" s="1447">
        <f>VLOOKUP($C239,'3B.Demographic'!$C$15:$N$414,9,FALSE)</f>
        <v>0</v>
      </c>
      <c r="AE239" s="1447">
        <f>VLOOKUP($C239,'3B.Demographic'!$C$15:$N$414,10,FALSE)</f>
        <v>0</v>
      </c>
      <c r="AF239" s="1475">
        <f>VLOOKUP($C239,'3B.Demographic'!$C$15:$N$414,11,FALSE)</f>
        <v>0</v>
      </c>
      <c r="AG239" s="1229">
        <f>VLOOKUP($C239,'3B.Demographic'!$C$15:$N$414,12,FALSE)</f>
        <v>0</v>
      </c>
    </row>
    <row r="240" spans="1:33" ht="20.100000000000001" customHeight="1">
      <c r="A240" s="217" t="str">
        <f>IF(D240&lt;&gt;"", ' 1A.Prop&amp;Residents'!$B$7, "")</f>
        <v/>
      </c>
      <c r="B240" s="217" t="str">
        <f t="shared" si="11"/>
        <v/>
      </c>
      <c r="C240" s="34">
        <v>226</v>
      </c>
      <c r="D240" s="153"/>
      <c r="E240" s="154"/>
      <c r="F240" s="1775"/>
      <c r="G240" s="155"/>
      <c r="H240" s="156"/>
      <c r="I240" s="154"/>
      <c r="J240" s="157"/>
      <c r="K240" s="156"/>
      <c r="L240" s="154"/>
      <c r="M240" s="609" t="str">
        <f>IF(L240="","",IF(E240="","",IF('1B.TransitionalProg'!$H$8&gt;0,"",VLOOKUP($E240,' 1A.Prop&amp;Residents'!$P$41:$R$47,2,FALSE))))</f>
        <v/>
      </c>
      <c r="N240" s="609" t="str">
        <f>IF(L240="","",IF(E240="","",IF('1B.TransitionalProg'!$H$8&gt;0,"",VLOOKUP($E240,' 1A.Prop&amp;Residents'!$P$41:$R$47,3,FALSE))))</f>
        <v/>
      </c>
      <c r="O240" s="610" t="str">
        <f>IF(L240="", "", IF(E240="", "", IF('1B.TransitionalProg'!$H$8&gt;0,"",IF(L240&lt;M240,"overHOUSED?",IF(L240&gt;N240, "OVERcrowded?","")))))</f>
        <v/>
      </c>
      <c r="P240" s="623"/>
      <c r="Q240" s="154"/>
      <c r="R240" s="154"/>
      <c r="S240" s="156"/>
      <c r="T240" s="156"/>
      <c r="U240" s="156"/>
      <c r="V240" s="156"/>
      <c r="W240" s="1580" t="str">
        <f t="shared" si="9"/>
        <v/>
      </c>
      <c r="X240" s="155"/>
      <c r="Y240" s="156"/>
      <c r="Z240" s="233" t="str">
        <f t="shared" si="10"/>
        <v/>
      </c>
      <c r="AA240" s="1447">
        <f>VLOOKUP($C240,'3B.Demographic'!$C$15:$N$414,6,FALSE)</f>
        <v>0</v>
      </c>
      <c r="AB240" s="1447">
        <f>VLOOKUP($C240,'3B.Demographic'!$C$15:$N$414,7,FALSE)</f>
        <v>0</v>
      </c>
      <c r="AC240" s="1447">
        <f>VLOOKUP($C240,'3B.Demographic'!$C$15:$N$414,8,FALSE)</f>
        <v>0</v>
      </c>
      <c r="AD240" s="1447">
        <f>VLOOKUP($C240,'3B.Demographic'!$C$15:$N$414,9,FALSE)</f>
        <v>0</v>
      </c>
      <c r="AE240" s="1447">
        <f>VLOOKUP($C240,'3B.Demographic'!$C$15:$N$414,10,FALSE)</f>
        <v>0</v>
      </c>
      <c r="AF240" s="1475">
        <f>VLOOKUP($C240,'3B.Demographic'!$C$15:$N$414,11,FALSE)</f>
        <v>0</v>
      </c>
      <c r="AG240" s="1229">
        <f>VLOOKUP($C240,'3B.Demographic'!$C$15:$N$414,12,FALSE)</f>
        <v>0</v>
      </c>
    </row>
    <row r="241" spans="1:33" ht="20.100000000000001" customHeight="1">
      <c r="A241" s="217" t="str">
        <f>IF(D241&lt;&gt;"", ' 1A.Prop&amp;Residents'!$B$7, "")</f>
        <v/>
      </c>
      <c r="B241" s="217" t="str">
        <f t="shared" si="11"/>
        <v/>
      </c>
      <c r="C241" s="34">
        <v>227</v>
      </c>
      <c r="D241" s="153"/>
      <c r="E241" s="154"/>
      <c r="F241" s="1775"/>
      <c r="G241" s="155"/>
      <c r="H241" s="156"/>
      <c r="I241" s="154"/>
      <c r="J241" s="157"/>
      <c r="K241" s="156"/>
      <c r="L241" s="154"/>
      <c r="M241" s="609" t="str">
        <f>IF(L241="","",IF(E241="","",IF('1B.TransitionalProg'!$H$8&gt;0,"",VLOOKUP($E241,' 1A.Prop&amp;Residents'!$P$41:$R$47,2,FALSE))))</f>
        <v/>
      </c>
      <c r="N241" s="609" t="str">
        <f>IF(L241="","",IF(E241="","",IF('1B.TransitionalProg'!$H$8&gt;0,"",VLOOKUP($E241,' 1A.Prop&amp;Residents'!$P$41:$R$47,3,FALSE))))</f>
        <v/>
      </c>
      <c r="O241" s="610" t="str">
        <f>IF(L241="", "", IF(E241="", "", IF('1B.TransitionalProg'!$H$8&gt;0,"",IF(L241&lt;M241,"overHOUSED?",IF(L241&gt;N241, "OVERcrowded?","")))))</f>
        <v/>
      </c>
      <c r="P241" s="623"/>
      <c r="Q241" s="154"/>
      <c r="R241" s="154"/>
      <c r="S241" s="156"/>
      <c r="T241" s="156"/>
      <c r="U241" s="156"/>
      <c r="V241" s="156"/>
      <c r="W241" s="1580" t="str">
        <f t="shared" si="9"/>
        <v/>
      </c>
      <c r="X241" s="155"/>
      <c r="Y241" s="156"/>
      <c r="Z241" s="233" t="str">
        <f t="shared" si="10"/>
        <v/>
      </c>
      <c r="AA241" s="1447">
        <f>VLOOKUP($C241,'3B.Demographic'!$C$15:$N$414,6,FALSE)</f>
        <v>0</v>
      </c>
      <c r="AB241" s="1447">
        <f>VLOOKUP($C241,'3B.Demographic'!$C$15:$N$414,7,FALSE)</f>
        <v>0</v>
      </c>
      <c r="AC241" s="1447">
        <f>VLOOKUP($C241,'3B.Demographic'!$C$15:$N$414,8,FALSE)</f>
        <v>0</v>
      </c>
      <c r="AD241" s="1447">
        <f>VLOOKUP($C241,'3B.Demographic'!$C$15:$N$414,9,FALSE)</f>
        <v>0</v>
      </c>
      <c r="AE241" s="1447">
        <f>VLOOKUP($C241,'3B.Demographic'!$C$15:$N$414,10,FALSE)</f>
        <v>0</v>
      </c>
      <c r="AF241" s="1475">
        <f>VLOOKUP($C241,'3B.Demographic'!$C$15:$N$414,11,FALSE)</f>
        <v>0</v>
      </c>
      <c r="AG241" s="1229">
        <f>VLOOKUP($C241,'3B.Demographic'!$C$15:$N$414,12,FALSE)</f>
        <v>0</v>
      </c>
    </row>
    <row r="242" spans="1:33" ht="20.100000000000001" customHeight="1">
      <c r="A242" s="217" t="str">
        <f>IF(D242&lt;&gt;"", ' 1A.Prop&amp;Residents'!$B$7, "")</f>
        <v/>
      </c>
      <c r="B242" s="217" t="str">
        <f t="shared" si="11"/>
        <v/>
      </c>
      <c r="C242" s="34">
        <v>228</v>
      </c>
      <c r="D242" s="153"/>
      <c r="E242" s="154"/>
      <c r="F242" s="1775"/>
      <c r="G242" s="155"/>
      <c r="H242" s="156"/>
      <c r="I242" s="154"/>
      <c r="J242" s="157"/>
      <c r="K242" s="156"/>
      <c r="L242" s="154"/>
      <c r="M242" s="609" t="str">
        <f>IF(L242="","",IF(E242="","",IF('1B.TransitionalProg'!$H$8&gt;0,"",VLOOKUP($E242,' 1A.Prop&amp;Residents'!$P$41:$R$47,2,FALSE))))</f>
        <v/>
      </c>
      <c r="N242" s="609" t="str">
        <f>IF(L242="","",IF(E242="","",IF('1B.TransitionalProg'!$H$8&gt;0,"",VLOOKUP($E242,' 1A.Prop&amp;Residents'!$P$41:$R$47,3,FALSE))))</f>
        <v/>
      </c>
      <c r="O242" s="610" t="str">
        <f>IF(L242="", "", IF(E242="", "", IF('1B.TransitionalProg'!$H$8&gt;0,"",IF(L242&lt;M242,"overHOUSED?",IF(L242&gt;N242, "OVERcrowded?","")))))</f>
        <v/>
      </c>
      <c r="P242" s="623"/>
      <c r="Q242" s="154"/>
      <c r="R242" s="154"/>
      <c r="S242" s="156"/>
      <c r="T242" s="156"/>
      <c r="U242" s="156"/>
      <c r="V242" s="156"/>
      <c r="W242" s="1580" t="str">
        <f t="shared" si="9"/>
        <v/>
      </c>
      <c r="X242" s="155"/>
      <c r="Y242" s="156"/>
      <c r="Z242" s="233" t="str">
        <f t="shared" si="10"/>
        <v/>
      </c>
      <c r="AA242" s="1447">
        <f>VLOOKUP($C242,'3B.Demographic'!$C$15:$N$414,6,FALSE)</f>
        <v>0</v>
      </c>
      <c r="AB242" s="1447">
        <f>VLOOKUP($C242,'3B.Demographic'!$C$15:$N$414,7,FALSE)</f>
        <v>0</v>
      </c>
      <c r="AC242" s="1447">
        <f>VLOOKUP($C242,'3B.Demographic'!$C$15:$N$414,8,FALSE)</f>
        <v>0</v>
      </c>
      <c r="AD242" s="1447">
        <f>VLOOKUP($C242,'3B.Demographic'!$C$15:$N$414,9,FALSE)</f>
        <v>0</v>
      </c>
      <c r="AE242" s="1447">
        <f>VLOOKUP($C242,'3B.Demographic'!$C$15:$N$414,10,FALSE)</f>
        <v>0</v>
      </c>
      <c r="AF242" s="1475">
        <f>VLOOKUP($C242,'3B.Demographic'!$C$15:$N$414,11,FALSE)</f>
        <v>0</v>
      </c>
      <c r="AG242" s="1229">
        <f>VLOOKUP($C242,'3B.Demographic'!$C$15:$N$414,12,FALSE)</f>
        <v>0</v>
      </c>
    </row>
    <row r="243" spans="1:33" ht="20.100000000000001" customHeight="1">
      <c r="A243" s="217" t="str">
        <f>IF(D243&lt;&gt;"", ' 1A.Prop&amp;Residents'!$B$7, "")</f>
        <v/>
      </c>
      <c r="B243" s="217" t="str">
        <f t="shared" si="11"/>
        <v/>
      </c>
      <c r="C243" s="34">
        <v>229</v>
      </c>
      <c r="D243" s="153"/>
      <c r="E243" s="154"/>
      <c r="F243" s="1775"/>
      <c r="G243" s="155"/>
      <c r="H243" s="156"/>
      <c r="I243" s="154"/>
      <c r="J243" s="157"/>
      <c r="K243" s="156"/>
      <c r="L243" s="154"/>
      <c r="M243" s="609" t="str">
        <f>IF(L243="","",IF(E243="","",IF('1B.TransitionalProg'!$H$8&gt;0,"",VLOOKUP($E243,' 1A.Prop&amp;Residents'!$P$41:$R$47,2,FALSE))))</f>
        <v/>
      </c>
      <c r="N243" s="609" t="str">
        <f>IF(L243="","",IF(E243="","",IF('1B.TransitionalProg'!$H$8&gt;0,"",VLOOKUP($E243,' 1A.Prop&amp;Residents'!$P$41:$R$47,3,FALSE))))</f>
        <v/>
      </c>
      <c r="O243" s="610" t="str">
        <f>IF(L243="", "", IF(E243="", "", IF('1B.TransitionalProg'!$H$8&gt;0,"",IF(L243&lt;M243,"overHOUSED?",IF(L243&gt;N243, "OVERcrowded?","")))))</f>
        <v/>
      </c>
      <c r="P243" s="623"/>
      <c r="Q243" s="154"/>
      <c r="R243" s="154"/>
      <c r="S243" s="156"/>
      <c r="T243" s="156"/>
      <c r="U243" s="156"/>
      <c r="V243" s="156"/>
      <c r="W243" s="1580" t="str">
        <f t="shared" si="9"/>
        <v/>
      </c>
      <c r="X243" s="155"/>
      <c r="Y243" s="156"/>
      <c r="Z243" s="233" t="str">
        <f t="shared" si="10"/>
        <v/>
      </c>
      <c r="AA243" s="1447">
        <f>VLOOKUP($C243,'3B.Demographic'!$C$15:$N$414,6,FALSE)</f>
        <v>0</v>
      </c>
      <c r="AB243" s="1447">
        <f>VLOOKUP($C243,'3B.Demographic'!$C$15:$N$414,7,FALSE)</f>
        <v>0</v>
      </c>
      <c r="AC243" s="1447">
        <f>VLOOKUP($C243,'3B.Demographic'!$C$15:$N$414,8,FALSE)</f>
        <v>0</v>
      </c>
      <c r="AD243" s="1447">
        <f>VLOOKUP($C243,'3B.Demographic'!$C$15:$N$414,9,FALSE)</f>
        <v>0</v>
      </c>
      <c r="AE243" s="1447">
        <f>VLOOKUP($C243,'3B.Demographic'!$C$15:$N$414,10,FALSE)</f>
        <v>0</v>
      </c>
      <c r="AF243" s="1475">
        <f>VLOOKUP($C243,'3B.Demographic'!$C$15:$N$414,11,FALSE)</f>
        <v>0</v>
      </c>
      <c r="AG243" s="1229">
        <f>VLOOKUP($C243,'3B.Demographic'!$C$15:$N$414,12,FALSE)</f>
        <v>0</v>
      </c>
    </row>
    <row r="244" spans="1:33" ht="20.100000000000001" customHeight="1">
      <c r="A244" s="217" t="str">
        <f>IF(D244&lt;&gt;"", ' 1A.Prop&amp;Residents'!$B$7, "")</f>
        <v/>
      </c>
      <c r="B244" s="217" t="str">
        <f t="shared" si="11"/>
        <v/>
      </c>
      <c r="C244" s="34">
        <v>230</v>
      </c>
      <c r="D244" s="153"/>
      <c r="E244" s="154"/>
      <c r="F244" s="1775"/>
      <c r="G244" s="155"/>
      <c r="H244" s="156"/>
      <c r="I244" s="154"/>
      <c r="J244" s="157"/>
      <c r="K244" s="156"/>
      <c r="L244" s="154"/>
      <c r="M244" s="609" t="str">
        <f>IF(L244="","",IF(E244="","",IF('1B.TransitionalProg'!$H$8&gt;0,"",VLOOKUP($E244,' 1A.Prop&amp;Residents'!$P$41:$R$47,2,FALSE))))</f>
        <v/>
      </c>
      <c r="N244" s="609" t="str">
        <f>IF(L244="","",IF(E244="","",IF('1B.TransitionalProg'!$H$8&gt;0,"",VLOOKUP($E244,' 1A.Prop&amp;Residents'!$P$41:$R$47,3,FALSE))))</f>
        <v/>
      </c>
      <c r="O244" s="610" t="str">
        <f>IF(L244="", "", IF(E244="", "", IF('1B.TransitionalProg'!$H$8&gt;0,"",IF(L244&lt;M244,"overHOUSED?",IF(L244&gt;N244, "OVERcrowded?","")))))</f>
        <v/>
      </c>
      <c r="P244" s="623"/>
      <c r="Q244" s="154"/>
      <c r="R244" s="154"/>
      <c r="S244" s="156"/>
      <c r="T244" s="156"/>
      <c r="U244" s="156"/>
      <c r="V244" s="156"/>
      <c r="W244" s="1580" t="str">
        <f t="shared" si="9"/>
        <v/>
      </c>
      <c r="X244" s="155"/>
      <c r="Y244" s="156"/>
      <c r="Z244" s="233" t="str">
        <f t="shared" si="10"/>
        <v/>
      </c>
      <c r="AA244" s="1447">
        <f>VLOOKUP($C244,'3B.Demographic'!$C$15:$N$414,6,FALSE)</f>
        <v>0</v>
      </c>
      <c r="AB244" s="1447">
        <f>VLOOKUP($C244,'3B.Demographic'!$C$15:$N$414,7,FALSE)</f>
        <v>0</v>
      </c>
      <c r="AC244" s="1447">
        <f>VLOOKUP($C244,'3B.Demographic'!$C$15:$N$414,8,FALSE)</f>
        <v>0</v>
      </c>
      <c r="AD244" s="1447">
        <f>VLOOKUP($C244,'3B.Demographic'!$C$15:$N$414,9,FALSE)</f>
        <v>0</v>
      </c>
      <c r="AE244" s="1447">
        <f>VLOOKUP($C244,'3B.Demographic'!$C$15:$N$414,10,FALSE)</f>
        <v>0</v>
      </c>
      <c r="AF244" s="1475">
        <f>VLOOKUP($C244,'3B.Demographic'!$C$15:$N$414,11,FALSE)</f>
        <v>0</v>
      </c>
      <c r="AG244" s="1229">
        <f>VLOOKUP($C244,'3B.Demographic'!$C$15:$N$414,12,FALSE)</f>
        <v>0</v>
      </c>
    </row>
    <row r="245" spans="1:33" ht="20.100000000000001" customHeight="1">
      <c r="A245" s="217" t="str">
        <f>IF(D245&lt;&gt;"", ' 1A.Prop&amp;Residents'!$B$7, "")</f>
        <v/>
      </c>
      <c r="B245" s="217" t="str">
        <f t="shared" si="11"/>
        <v/>
      </c>
      <c r="C245" s="34">
        <v>231</v>
      </c>
      <c r="D245" s="153"/>
      <c r="E245" s="154"/>
      <c r="F245" s="1775"/>
      <c r="G245" s="155"/>
      <c r="H245" s="156"/>
      <c r="I245" s="154"/>
      <c r="J245" s="157"/>
      <c r="K245" s="156"/>
      <c r="L245" s="154"/>
      <c r="M245" s="609" t="str">
        <f>IF(L245="","",IF(E245="","",IF('1B.TransitionalProg'!$H$8&gt;0,"",VLOOKUP($E245,' 1A.Prop&amp;Residents'!$P$41:$R$47,2,FALSE))))</f>
        <v/>
      </c>
      <c r="N245" s="609" t="str">
        <f>IF(L245="","",IF(E245="","",IF('1B.TransitionalProg'!$H$8&gt;0,"",VLOOKUP($E245,' 1A.Prop&amp;Residents'!$P$41:$R$47,3,FALSE))))</f>
        <v/>
      </c>
      <c r="O245" s="610" t="str">
        <f>IF(L245="", "", IF(E245="", "", IF('1B.TransitionalProg'!$H$8&gt;0,"",IF(L245&lt;M245,"overHOUSED?",IF(L245&gt;N245, "OVERcrowded?","")))))</f>
        <v/>
      </c>
      <c r="P245" s="623"/>
      <c r="Q245" s="154"/>
      <c r="R245" s="154"/>
      <c r="S245" s="156"/>
      <c r="T245" s="156"/>
      <c r="U245" s="156"/>
      <c r="V245" s="156"/>
      <c r="W245" s="1580" t="str">
        <f t="shared" si="9"/>
        <v/>
      </c>
      <c r="X245" s="155"/>
      <c r="Y245" s="156"/>
      <c r="Z245" s="233" t="str">
        <f t="shared" si="10"/>
        <v/>
      </c>
      <c r="AA245" s="1447">
        <f>VLOOKUP($C245,'3B.Demographic'!$C$15:$N$414,6,FALSE)</f>
        <v>0</v>
      </c>
      <c r="AB245" s="1447">
        <f>VLOOKUP($C245,'3B.Demographic'!$C$15:$N$414,7,FALSE)</f>
        <v>0</v>
      </c>
      <c r="AC245" s="1447">
        <f>VLOOKUP($C245,'3B.Demographic'!$C$15:$N$414,8,FALSE)</f>
        <v>0</v>
      </c>
      <c r="AD245" s="1447">
        <f>VLOOKUP($C245,'3B.Demographic'!$C$15:$N$414,9,FALSE)</f>
        <v>0</v>
      </c>
      <c r="AE245" s="1447">
        <f>VLOOKUP($C245,'3B.Demographic'!$C$15:$N$414,10,FALSE)</f>
        <v>0</v>
      </c>
      <c r="AF245" s="1475">
        <f>VLOOKUP($C245,'3B.Demographic'!$C$15:$N$414,11,FALSE)</f>
        <v>0</v>
      </c>
      <c r="AG245" s="1229">
        <f>VLOOKUP($C245,'3B.Demographic'!$C$15:$N$414,12,FALSE)</f>
        <v>0</v>
      </c>
    </row>
    <row r="246" spans="1:33" ht="20.100000000000001" customHeight="1">
      <c r="A246" s="217" t="str">
        <f>IF(D246&lt;&gt;"", ' 1A.Prop&amp;Residents'!$B$7, "")</f>
        <v/>
      </c>
      <c r="B246" s="217" t="str">
        <f t="shared" si="11"/>
        <v/>
      </c>
      <c r="C246" s="34">
        <v>232</v>
      </c>
      <c r="D246" s="153"/>
      <c r="E246" s="154"/>
      <c r="F246" s="1775"/>
      <c r="G246" s="155"/>
      <c r="H246" s="156"/>
      <c r="I246" s="154"/>
      <c r="J246" s="157"/>
      <c r="K246" s="156"/>
      <c r="L246" s="154"/>
      <c r="M246" s="609" t="str">
        <f>IF(L246="","",IF(E246="","",IF('1B.TransitionalProg'!$H$8&gt;0,"",VLOOKUP($E246,' 1A.Prop&amp;Residents'!$P$41:$R$47,2,FALSE))))</f>
        <v/>
      </c>
      <c r="N246" s="609" t="str">
        <f>IF(L246="","",IF(E246="","",IF('1B.TransitionalProg'!$H$8&gt;0,"",VLOOKUP($E246,' 1A.Prop&amp;Residents'!$P$41:$R$47,3,FALSE))))</f>
        <v/>
      </c>
      <c r="O246" s="610" t="str">
        <f>IF(L246="", "", IF(E246="", "", IF('1B.TransitionalProg'!$H$8&gt;0,"",IF(L246&lt;M246,"overHOUSED?",IF(L246&gt;N246, "OVERcrowded?","")))))</f>
        <v/>
      </c>
      <c r="P246" s="623"/>
      <c r="Q246" s="154"/>
      <c r="R246" s="154"/>
      <c r="S246" s="156"/>
      <c r="T246" s="156"/>
      <c r="U246" s="156"/>
      <c r="V246" s="156"/>
      <c r="W246" s="1580" t="str">
        <f t="shared" si="9"/>
        <v/>
      </c>
      <c r="X246" s="155"/>
      <c r="Y246" s="156"/>
      <c r="Z246" s="233" t="str">
        <f t="shared" si="10"/>
        <v/>
      </c>
      <c r="AA246" s="1447">
        <f>VLOOKUP($C246,'3B.Demographic'!$C$15:$N$414,6,FALSE)</f>
        <v>0</v>
      </c>
      <c r="AB246" s="1447">
        <f>VLOOKUP($C246,'3B.Demographic'!$C$15:$N$414,7,FALSE)</f>
        <v>0</v>
      </c>
      <c r="AC246" s="1447">
        <f>VLOOKUP($C246,'3B.Demographic'!$C$15:$N$414,8,FALSE)</f>
        <v>0</v>
      </c>
      <c r="AD246" s="1447">
        <f>VLOOKUP($C246,'3B.Demographic'!$C$15:$N$414,9,FALSE)</f>
        <v>0</v>
      </c>
      <c r="AE246" s="1447">
        <f>VLOOKUP($C246,'3B.Demographic'!$C$15:$N$414,10,FALSE)</f>
        <v>0</v>
      </c>
      <c r="AF246" s="1475">
        <f>VLOOKUP($C246,'3B.Demographic'!$C$15:$N$414,11,FALSE)</f>
        <v>0</v>
      </c>
      <c r="AG246" s="1229">
        <f>VLOOKUP($C246,'3B.Demographic'!$C$15:$N$414,12,FALSE)</f>
        <v>0</v>
      </c>
    </row>
    <row r="247" spans="1:33" ht="20.100000000000001" customHeight="1">
      <c r="A247" s="217" t="str">
        <f>IF(D247&lt;&gt;"", ' 1A.Prop&amp;Residents'!$B$7, "")</f>
        <v/>
      </c>
      <c r="B247" s="217" t="str">
        <f t="shared" si="11"/>
        <v/>
      </c>
      <c r="C247" s="34">
        <v>233</v>
      </c>
      <c r="D247" s="153"/>
      <c r="E247" s="154"/>
      <c r="F247" s="1775"/>
      <c r="G247" s="155"/>
      <c r="H247" s="156"/>
      <c r="I247" s="154"/>
      <c r="J247" s="157"/>
      <c r="K247" s="156"/>
      <c r="L247" s="154"/>
      <c r="M247" s="609" t="str">
        <f>IF(L247="","",IF(E247="","",IF('1B.TransitionalProg'!$H$8&gt;0,"",VLOOKUP($E247,' 1A.Prop&amp;Residents'!$P$41:$R$47,2,FALSE))))</f>
        <v/>
      </c>
      <c r="N247" s="609" t="str">
        <f>IF(L247="","",IF(E247="","",IF('1B.TransitionalProg'!$H$8&gt;0,"",VLOOKUP($E247,' 1A.Prop&amp;Residents'!$P$41:$R$47,3,FALSE))))</f>
        <v/>
      </c>
      <c r="O247" s="610" t="str">
        <f>IF(L247="", "", IF(E247="", "", IF('1B.TransitionalProg'!$H$8&gt;0,"",IF(L247&lt;M247,"overHOUSED?",IF(L247&gt;N247, "OVERcrowded?","")))))</f>
        <v/>
      </c>
      <c r="P247" s="623"/>
      <c r="Q247" s="154"/>
      <c r="R247" s="154"/>
      <c r="S247" s="156"/>
      <c r="T247" s="156"/>
      <c r="U247" s="156"/>
      <c r="V247" s="156"/>
      <c r="W247" s="1580" t="str">
        <f t="shared" si="9"/>
        <v/>
      </c>
      <c r="X247" s="155"/>
      <c r="Y247" s="156"/>
      <c r="Z247" s="233" t="str">
        <f t="shared" si="10"/>
        <v/>
      </c>
      <c r="AA247" s="1447">
        <f>VLOOKUP($C247,'3B.Demographic'!$C$15:$N$414,6,FALSE)</f>
        <v>0</v>
      </c>
      <c r="AB247" s="1447">
        <f>VLOOKUP($C247,'3B.Demographic'!$C$15:$N$414,7,FALSE)</f>
        <v>0</v>
      </c>
      <c r="AC247" s="1447">
        <f>VLOOKUP($C247,'3B.Demographic'!$C$15:$N$414,8,FALSE)</f>
        <v>0</v>
      </c>
      <c r="AD247" s="1447">
        <f>VLOOKUP($C247,'3B.Demographic'!$C$15:$N$414,9,FALSE)</f>
        <v>0</v>
      </c>
      <c r="AE247" s="1447">
        <f>VLOOKUP($C247,'3B.Demographic'!$C$15:$N$414,10,FALSE)</f>
        <v>0</v>
      </c>
      <c r="AF247" s="1475">
        <f>VLOOKUP($C247,'3B.Demographic'!$C$15:$N$414,11,FALSE)</f>
        <v>0</v>
      </c>
      <c r="AG247" s="1229">
        <f>VLOOKUP($C247,'3B.Demographic'!$C$15:$N$414,12,FALSE)</f>
        <v>0</v>
      </c>
    </row>
    <row r="248" spans="1:33" ht="20.100000000000001" customHeight="1">
      <c r="A248" s="217" t="str">
        <f>IF(D248&lt;&gt;"", ' 1A.Prop&amp;Residents'!$B$7, "")</f>
        <v/>
      </c>
      <c r="B248" s="217" t="str">
        <f t="shared" si="11"/>
        <v/>
      </c>
      <c r="C248" s="34">
        <v>234</v>
      </c>
      <c r="D248" s="153"/>
      <c r="E248" s="154"/>
      <c r="F248" s="1775"/>
      <c r="G248" s="155"/>
      <c r="H248" s="156"/>
      <c r="I248" s="154"/>
      <c r="J248" s="157"/>
      <c r="K248" s="156"/>
      <c r="L248" s="154"/>
      <c r="M248" s="609" t="str">
        <f>IF(L248="","",IF(E248="","",IF('1B.TransitionalProg'!$H$8&gt;0,"",VLOOKUP($E248,' 1A.Prop&amp;Residents'!$P$41:$R$47,2,FALSE))))</f>
        <v/>
      </c>
      <c r="N248" s="609" t="str">
        <f>IF(L248="","",IF(E248="","",IF('1B.TransitionalProg'!$H$8&gt;0,"",VLOOKUP($E248,' 1A.Prop&amp;Residents'!$P$41:$R$47,3,FALSE))))</f>
        <v/>
      </c>
      <c r="O248" s="610" t="str">
        <f>IF(L248="", "", IF(E248="", "", IF('1B.TransitionalProg'!$H$8&gt;0,"",IF(L248&lt;M248,"overHOUSED?",IF(L248&gt;N248, "OVERcrowded?","")))))</f>
        <v/>
      </c>
      <c r="P248" s="623"/>
      <c r="Q248" s="154"/>
      <c r="R248" s="154"/>
      <c r="S248" s="156"/>
      <c r="T248" s="156"/>
      <c r="U248" s="156"/>
      <c r="V248" s="156"/>
      <c r="W248" s="1580" t="str">
        <f t="shared" si="9"/>
        <v/>
      </c>
      <c r="X248" s="155"/>
      <c r="Y248" s="156"/>
      <c r="Z248" s="233" t="str">
        <f t="shared" si="10"/>
        <v/>
      </c>
      <c r="AA248" s="1447">
        <f>VLOOKUP($C248,'3B.Demographic'!$C$15:$N$414,6,FALSE)</f>
        <v>0</v>
      </c>
      <c r="AB248" s="1447">
        <f>VLOOKUP($C248,'3B.Demographic'!$C$15:$N$414,7,FALSE)</f>
        <v>0</v>
      </c>
      <c r="AC248" s="1447">
        <f>VLOOKUP($C248,'3B.Demographic'!$C$15:$N$414,8,FALSE)</f>
        <v>0</v>
      </c>
      <c r="AD248" s="1447">
        <f>VLOOKUP($C248,'3B.Demographic'!$C$15:$N$414,9,FALSE)</f>
        <v>0</v>
      </c>
      <c r="AE248" s="1447">
        <f>VLOOKUP($C248,'3B.Demographic'!$C$15:$N$414,10,FALSE)</f>
        <v>0</v>
      </c>
      <c r="AF248" s="1475">
        <f>VLOOKUP($C248,'3B.Demographic'!$C$15:$N$414,11,FALSE)</f>
        <v>0</v>
      </c>
      <c r="AG248" s="1229">
        <f>VLOOKUP($C248,'3B.Demographic'!$C$15:$N$414,12,FALSE)</f>
        <v>0</v>
      </c>
    </row>
    <row r="249" spans="1:33" ht="20.100000000000001" customHeight="1">
      <c r="A249" s="217" t="str">
        <f>IF(D249&lt;&gt;"", ' 1A.Prop&amp;Residents'!$B$7, "")</f>
        <v/>
      </c>
      <c r="B249" s="217" t="str">
        <f t="shared" si="11"/>
        <v/>
      </c>
      <c r="C249" s="34">
        <v>235</v>
      </c>
      <c r="D249" s="153"/>
      <c r="E249" s="154"/>
      <c r="F249" s="1775"/>
      <c r="G249" s="155"/>
      <c r="H249" s="156"/>
      <c r="I249" s="154"/>
      <c r="J249" s="157"/>
      <c r="K249" s="156"/>
      <c r="L249" s="154"/>
      <c r="M249" s="609" t="str">
        <f>IF(L249="","",IF(E249="","",IF('1B.TransitionalProg'!$H$8&gt;0,"",VLOOKUP($E249,' 1A.Prop&amp;Residents'!$P$41:$R$47,2,FALSE))))</f>
        <v/>
      </c>
      <c r="N249" s="609" t="str">
        <f>IF(L249="","",IF(E249="","",IF('1B.TransitionalProg'!$H$8&gt;0,"",VLOOKUP($E249,' 1A.Prop&amp;Residents'!$P$41:$R$47,3,FALSE))))</f>
        <v/>
      </c>
      <c r="O249" s="610" t="str">
        <f>IF(L249="", "", IF(E249="", "", IF('1B.TransitionalProg'!$H$8&gt;0,"",IF(L249&lt;M249,"overHOUSED?",IF(L249&gt;N249, "OVERcrowded?","")))))</f>
        <v/>
      </c>
      <c r="P249" s="623"/>
      <c r="Q249" s="154"/>
      <c r="R249" s="154"/>
      <c r="S249" s="156"/>
      <c r="T249" s="156"/>
      <c r="U249" s="156"/>
      <c r="V249" s="156"/>
      <c r="W249" s="1580" t="str">
        <f t="shared" si="9"/>
        <v/>
      </c>
      <c r="X249" s="155"/>
      <c r="Y249" s="156"/>
      <c r="Z249" s="233" t="str">
        <f t="shared" si="10"/>
        <v/>
      </c>
      <c r="AA249" s="1447">
        <f>VLOOKUP($C249,'3B.Demographic'!$C$15:$N$414,6,FALSE)</f>
        <v>0</v>
      </c>
      <c r="AB249" s="1447">
        <f>VLOOKUP($C249,'3B.Demographic'!$C$15:$N$414,7,FALSE)</f>
        <v>0</v>
      </c>
      <c r="AC249" s="1447">
        <f>VLOOKUP($C249,'3B.Demographic'!$C$15:$N$414,8,FALSE)</f>
        <v>0</v>
      </c>
      <c r="AD249" s="1447">
        <f>VLOOKUP($C249,'3B.Demographic'!$C$15:$N$414,9,FALSE)</f>
        <v>0</v>
      </c>
      <c r="AE249" s="1447">
        <f>VLOOKUP($C249,'3B.Demographic'!$C$15:$N$414,10,FALSE)</f>
        <v>0</v>
      </c>
      <c r="AF249" s="1475">
        <f>VLOOKUP($C249,'3B.Demographic'!$C$15:$N$414,11,FALSE)</f>
        <v>0</v>
      </c>
      <c r="AG249" s="1229">
        <f>VLOOKUP($C249,'3B.Demographic'!$C$15:$N$414,12,FALSE)</f>
        <v>0</v>
      </c>
    </row>
    <row r="250" spans="1:33" ht="20.100000000000001" customHeight="1">
      <c r="A250" s="217" t="str">
        <f>IF(D250&lt;&gt;"", ' 1A.Prop&amp;Residents'!$B$7, "")</f>
        <v/>
      </c>
      <c r="B250" s="217" t="str">
        <f t="shared" si="11"/>
        <v/>
      </c>
      <c r="C250" s="34">
        <v>236</v>
      </c>
      <c r="D250" s="153"/>
      <c r="E250" s="154"/>
      <c r="F250" s="1775"/>
      <c r="G250" s="155"/>
      <c r="H250" s="156"/>
      <c r="I250" s="154"/>
      <c r="J250" s="157"/>
      <c r="K250" s="156"/>
      <c r="L250" s="154"/>
      <c r="M250" s="609" t="str">
        <f>IF(L250="","",IF(E250="","",IF('1B.TransitionalProg'!$H$8&gt;0,"",VLOOKUP($E250,' 1A.Prop&amp;Residents'!$P$41:$R$47,2,FALSE))))</f>
        <v/>
      </c>
      <c r="N250" s="609" t="str">
        <f>IF(L250="","",IF(E250="","",IF('1B.TransitionalProg'!$H$8&gt;0,"",VLOOKUP($E250,' 1A.Prop&amp;Residents'!$P$41:$R$47,3,FALSE))))</f>
        <v/>
      </c>
      <c r="O250" s="610" t="str">
        <f>IF(L250="", "", IF(E250="", "", IF('1B.TransitionalProg'!$H$8&gt;0,"",IF(L250&lt;M250,"overHOUSED?",IF(L250&gt;N250, "OVERcrowded?","")))))</f>
        <v/>
      </c>
      <c r="P250" s="623"/>
      <c r="Q250" s="154"/>
      <c r="R250" s="154"/>
      <c r="S250" s="156"/>
      <c r="T250" s="156"/>
      <c r="U250" s="156"/>
      <c r="V250" s="156"/>
      <c r="W250" s="1580" t="str">
        <f t="shared" si="9"/>
        <v/>
      </c>
      <c r="X250" s="155"/>
      <c r="Y250" s="156"/>
      <c r="Z250" s="233" t="str">
        <f t="shared" si="10"/>
        <v/>
      </c>
      <c r="AA250" s="1447">
        <f>VLOOKUP($C250,'3B.Demographic'!$C$15:$N$414,6,FALSE)</f>
        <v>0</v>
      </c>
      <c r="AB250" s="1447">
        <f>VLOOKUP($C250,'3B.Demographic'!$C$15:$N$414,7,FALSE)</f>
        <v>0</v>
      </c>
      <c r="AC250" s="1447">
        <f>VLOOKUP($C250,'3B.Demographic'!$C$15:$N$414,8,FALSE)</f>
        <v>0</v>
      </c>
      <c r="AD250" s="1447">
        <f>VLOOKUP($C250,'3B.Demographic'!$C$15:$N$414,9,FALSE)</f>
        <v>0</v>
      </c>
      <c r="AE250" s="1447">
        <f>VLOOKUP($C250,'3B.Demographic'!$C$15:$N$414,10,FALSE)</f>
        <v>0</v>
      </c>
      <c r="AF250" s="1475">
        <f>VLOOKUP($C250,'3B.Demographic'!$C$15:$N$414,11,FALSE)</f>
        <v>0</v>
      </c>
      <c r="AG250" s="1229">
        <f>VLOOKUP($C250,'3B.Demographic'!$C$15:$N$414,12,FALSE)</f>
        <v>0</v>
      </c>
    </row>
    <row r="251" spans="1:33" ht="20.100000000000001" customHeight="1">
      <c r="A251" s="217" t="str">
        <f>IF(D251&lt;&gt;"", ' 1A.Prop&amp;Residents'!$B$7, "")</f>
        <v/>
      </c>
      <c r="B251" s="217" t="str">
        <f t="shared" si="11"/>
        <v/>
      </c>
      <c r="C251" s="34">
        <v>237</v>
      </c>
      <c r="D251" s="153"/>
      <c r="E251" s="154"/>
      <c r="F251" s="1775"/>
      <c r="G251" s="155"/>
      <c r="H251" s="156"/>
      <c r="I251" s="154"/>
      <c r="J251" s="157"/>
      <c r="K251" s="156"/>
      <c r="L251" s="154"/>
      <c r="M251" s="609" t="str">
        <f>IF(L251="","",IF(E251="","",IF('1B.TransitionalProg'!$H$8&gt;0,"",VLOOKUP($E251,' 1A.Prop&amp;Residents'!$P$41:$R$47,2,FALSE))))</f>
        <v/>
      </c>
      <c r="N251" s="609" t="str">
        <f>IF(L251="","",IF(E251="","",IF('1B.TransitionalProg'!$H$8&gt;0,"",VLOOKUP($E251,' 1A.Prop&amp;Residents'!$P$41:$R$47,3,FALSE))))</f>
        <v/>
      </c>
      <c r="O251" s="610" t="str">
        <f>IF(L251="", "", IF(E251="", "", IF('1B.TransitionalProg'!$H$8&gt;0,"",IF(L251&lt;M251,"overHOUSED?",IF(L251&gt;N251, "OVERcrowded?","")))))</f>
        <v/>
      </c>
      <c r="P251" s="623"/>
      <c r="Q251" s="154"/>
      <c r="R251" s="154"/>
      <c r="S251" s="156"/>
      <c r="T251" s="156"/>
      <c r="U251" s="156"/>
      <c r="V251" s="156"/>
      <c r="W251" s="1580" t="str">
        <f t="shared" si="9"/>
        <v/>
      </c>
      <c r="X251" s="155"/>
      <c r="Y251" s="156"/>
      <c r="Z251" s="233" t="str">
        <f t="shared" si="10"/>
        <v/>
      </c>
      <c r="AA251" s="1447">
        <f>VLOOKUP($C251,'3B.Demographic'!$C$15:$N$414,6,FALSE)</f>
        <v>0</v>
      </c>
      <c r="AB251" s="1447">
        <f>VLOOKUP($C251,'3B.Demographic'!$C$15:$N$414,7,FALSE)</f>
        <v>0</v>
      </c>
      <c r="AC251" s="1447">
        <f>VLOOKUP($C251,'3B.Demographic'!$C$15:$N$414,8,FALSE)</f>
        <v>0</v>
      </c>
      <c r="AD251" s="1447">
        <f>VLOOKUP($C251,'3B.Demographic'!$C$15:$N$414,9,FALSE)</f>
        <v>0</v>
      </c>
      <c r="AE251" s="1447">
        <f>VLOOKUP($C251,'3B.Demographic'!$C$15:$N$414,10,FALSE)</f>
        <v>0</v>
      </c>
      <c r="AF251" s="1475">
        <f>VLOOKUP($C251,'3B.Demographic'!$C$15:$N$414,11,FALSE)</f>
        <v>0</v>
      </c>
      <c r="AG251" s="1229">
        <f>VLOOKUP($C251,'3B.Demographic'!$C$15:$N$414,12,FALSE)</f>
        <v>0</v>
      </c>
    </row>
    <row r="252" spans="1:33" ht="20.100000000000001" customHeight="1">
      <c r="A252" s="217" t="str">
        <f>IF(D252&lt;&gt;"", ' 1A.Prop&amp;Residents'!$B$7, "")</f>
        <v/>
      </c>
      <c r="B252" s="217" t="str">
        <f t="shared" si="11"/>
        <v/>
      </c>
      <c r="C252" s="34">
        <v>238</v>
      </c>
      <c r="D252" s="153"/>
      <c r="E252" s="154"/>
      <c r="F252" s="1775"/>
      <c r="G252" s="155"/>
      <c r="H252" s="156"/>
      <c r="I252" s="154"/>
      <c r="J252" s="157"/>
      <c r="K252" s="156"/>
      <c r="L252" s="154"/>
      <c r="M252" s="609" t="str">
        <f>IF(L252="","",IF(E252="","",IF('1B.TransitionalProg'!$H$8&gt;0,"",VLOOKUP($E252,' 1A.Prop&amp;Residents'!$P$41:$R$47,2,FALSE))))</f>
        <v/>
      </c>
      <c r="N252" s="609" t="str">
        <f>IF(L252="","",IF(E252="","",IF('1B.TransitionalProg'!$H$8&gt;0,"",VLOOKUP($E252,' 1A.Prop&amp;Residents'!$P$41:$R$47,3,FALSE))))</f>
        <v/>
      </c>
      <c r="O252" s="610" t="str">
        <f>IF(L252="", "", IF(E252="", "", IF('1B.TransitionalProg'!$H$8&gt;0,"",IF(L252&lt;M252,"overHOUSED?",IF(L252&gt;N252, "OVERcrowded?","")))))</f>
        <v/>
      </c>
      <c r="P252" s="623"/>
      <c r="Q252" s="154"/>
      <c r="R252" s="154"/>
      <c r="S252" s="156"/>
      <c r="T252" s="156"/>
      <c r="U252" s="156"/>
      <c r="V252" s="156"/>
      <c r="W252" s="1580" t="str">
        <f t="shared" si="9"/>
        <v/>
      </c>
      <c r="X252" s="155"/>
      <c r="Y252" s="156"/>
      <c r="Z252" s="233" t="str">
        <f t="shared" si="10"/>
        <v/>
      </c>
      <c r="AA252" s="1447">
        <f>VLOOKUP($C252,'3B.Demographic'!$C$15:$N$414,6,FALSE)</f>
        <v>0</v>
      </c>
      <c r="AB252" s="1447">
        <f>VLOOKUP($C252,'3B.Demographic'!$C$15:$N$414,7,FALSE)</f>
        <v>0</v>
      </c>
      <c r="AC252" s="1447">
        <f>VLOOKUP($C252,'3B.Demographic'!$C$15:$N$414,8,FALSE)</f>
        <v>0</v>
      </c>
      <c r="AD252" s="1447">
        <f>VLOOKUP($C252,'3B.Demographic'!$C$15:$N$414,9,FALSE)</f>
        <v>0</v>
      </c>
      <c r="AE252" s="1447">
        <f>VLOOKUP($C252,'3B.Demographic'!$C$15:$N$414,10,FALSE)</f>
        <v>0</v>
      </c>
      <c r="AF252" s="1475">
        <f>VLOOKUP($C252,'3B.Demographic'!$C$15:$N$414,11,FALSE)</f>
        <v>0</v>
      </c>
      <c r="AG252" s="1229">
        <f>VLOOKUP($C252,'3B.Demographic'!$C$15:$N$414,12,FALSE)</f>
        <v>0</v>
      </c>
    </row>
    <row r="253" spans="1:33" ht="20.100000000000001" customHeight="1">
      <c r="A253" s="217" t="str">
        <f>IF(D253&lt;&gt;"", ' 1A.Prop&amp;Residents'!$B$7, "")</f>
        <v/>
      </c>
      <c r="B253" s="217" t="str">
        <f t="shared" si="11"/>
        <v/>
      </c>
      <c r="C253" s="34">
        <v>239</v>
      </c>
      <c r="D253" s="153"/>
      <c r="E253" s="154"/>
      <c r="F253" s="1775"/>
      <c r="G253" s="155"/>
      <c r="H253" s="156"/>
      <c r="I253" s="154"/>
      <c r="J253" s="157"/>
      <c r="K253" s="156"/>
      <c r="L253" s="154"/>
      <c r="M253" s="609" t="str">
        <f>IF(L253="","",IF(E253="","",IF('1B.TransitionalProg'!$H$8&gt;0,"",VLOOKUP($E253,' 1A.Prop&amp;Residents'!$P$41:$R$47,2,FALSE))))</f>
        <v/>
      </c>
      <c r="N253" s="609" t="str">
        <f>IF(L253="","",IF(E253="","",IF('1B.TransitionalProg'!$H$8&gt;0,"",VLOOKUP($E253,' 1A.Prop&amp;Residents'!$P$41:$R$47,3,FALSE))))</f>
        <v/>
      </c>
      <c r="O253" s="610" t="str">
        <f>IF(L253="", "", IF(E253="", "", IF('1B.TransitionalProg'!$H$8&gt;0,"",IF(L253&lt;M253,"overHOUSED?",IF(L253&gt;N253, "OVERcrowded?","")))))</f>
        <v/>
      </c>
      <c r="P253" s="623"/>
      <c r="Q253" s="154"/>
      <c r="R253" s="154"/>
      <c r="S253" s="156"/>
      <c r="T253" s="156"/>
      <c r="U253" s="156"/>
      <c r="V253" s="156"/>
      <c r="W253" s="1580" t="str">
        <f t="shared" si="9"/>
        <v/>
      </c>
      <c r="X253" s="155"/>
      <c r="Y253" s="156"/>
      <c r="Z253" s="233" t="str">
        <f t="shared" si="10"/>
        <v/>
      </c>
      <c r="AA253" s="1447">
        <f>VLOOKUP($C253,'3B.Demographic'!$C$15:$N$414,6,FALSE)</f>
        <v>0</v>
      </c>
      <c r="AB253" s="1447">
        <f>VLOOKUP($C253,'3B.Demographic'!$C$15:$N$414,7,FALSE)</f>
        <v>0</v>
      </c>
      <c r="AC253" s="1447">
        <f>VLOOKUP($C253,'3B.Demographic'!$C$15:$N$414,8,FALSE)</f>
        <v>0</v>
      </c>
      <c r="AD253" s="1447">
        <f>VLOOKUP($C253,'3B.Demographic'!$C$15:$N$414,9,FALSE)</f>
        <v>0</v>
      </c>
      <c r="AE253" s="1447">
        <f>VLOOKUP($C253,'3B.Demographic'!$C$15:$N$414,10,FALSE)</f>
        <v>0</v>
      </c>
      <c r="AF253" s="1475">
        <f>VLOOKUP($C253,'3B.Demographic'!$C$15:$N$414,11,FALSE)</f>
        <v>0</v>
      </c>
      <c r="AG253" s="1229">
        <f>VLOOKUP($C253,'3B.Demographic'!$C$15:$N$414,12,FALSE)</f>
        <v>0</v>
      </c>
    </row>
    <row r="254" spans="1:33" ht="20.100000000000001" customHeight="1">
      <c r="A254" s="217" t="str">
        <f>IF(D254&lt;&gt;"", ' 1A.Prop&amp;Residents'!$B$7, "")</f>
        <v/>
      </c>
      <c r="B254" s="217" t="str">
        <f t="shared" si="11"/>
        <v/>
      </c>
      <c r="C254" s="34">
        <v>240</v>
      </c>
      <c r="D254" s="153"/>
      <c r="E254" s="154"/>
      <c r="F254" s="1775"/>
      <c r="G254" s="155"/>
      <c r="H254" s="156"/>
      <c r="I254" s="154"/>
      <c r="J254" s="157"/>
      <c r="K254" s="156"/>
      <c r="L254" s="154"/>
      <c r="M254" s="609" t="str">
        <f>IF(L254="","",IF(E254="","",IF('1B.TransitionalProg'!$H$8&gt;0,"",VLOOKUP($E254,' 1A.Prop&amp;Residents'!$P$41:$R$47,2,FALSE))))</f>
        <v/>
      </c>
      <c r="N254" s="609" t="str">
        <f>IF(L254="","",IF(E254="","",IF('1B.TransitionalProg'!$H$8&gt;0,"",VLOOKUP($E254,' 1A.Prop&amp;Residents'!$P$41:$R$47,3,FALSE))))</f>
        <v/>
      </c>
      <c r="O254" s="610" t="str">
        <f>IF(L254="", "", IF(E254="", "", IF('1B.TransitionalProg'!$H$8&gt;0,"",IF(L254&lt;M254,"overHOUSED?",IF(L254&gt;N254, "OVERcrowded?","")))))</f>
        <v/>
      </c>
      <c r="P254" s="623"/>
      <c r="Q254" s="154"/>
      <c r="R254" s="154"/>
      <c r="S254" s="156"/>
      <c r="T254" s="156"/>
      <c r="U254" s="156"/>
      <c r="V254" s="156"/>
      <c r="W254" s="1580" t="str">
        <f t="shared" si="9"/>
        <v/>
      </c>
      <c r="X254" s="155"/>
      <c r="Y254" s="156"/>
      <c r="Z254" s="233" t="str">
        <f t="shared" si="10"/>
        <v/>
      </c>
      <c r="AA254" s="1447">
        <f>VLOOKUP($C254,'3B.Demographic'!$C$15:$N$414,6,FALSE)</f>
        <v>0</v>
      </c>
      <c r="AB254" s="1447">
        <f>VLOOKUP($C254,'3B.Demographic'!$C$15:$N$414,7,FALSE)</f>
        <v>0</v>
      </c>
      <c r="AC254" s="1447">
        <f>VLOOKUP($C254,'3B.Demographic'!$C$15:$N$414,8,FALSE)</f>
        <v>0</v>
      </c>
      <c r="AD254" s="1447">
        <f>VLOOKUP($C254,'3B.Demographic'!$C$15:$N$414,9,FALSE)</f>
        <v>0</v>
      </c>
      <c r="AE254" s="1447">
        <f>VLOOKUP($C254,'3B.Demographic'!$C$15:$N$414,10,FALSE)</f>
        <v>0</v>
      </c>
      <c r="AF254" s="1475">
        <f>VLOOKUP($C254,'3B.Demographic'!$C$15:$N$414,11,FALSE)</f>
        <v>0</v>
      </c>
      <c r="AG254" s="1229">
        <f>VLOOKUP($C254,'3B.Demographic'!$C$15:$N$414,12,FALSE)</f>
        <v>0</v>
      </c>
    </row>
    <row r="255" spans="1:33" ht="20.100000000000001" customHeight="1">
      <c r="A255" s="217" t="str">
        <f>IF(D255&lt;&gt;"", ' 1A.Prop&amp;Residents'!$B$7, "")</f>
        <v/>
      </c>
      <c r="B255" s="217" t="str">
        <f t="shared" si="11"/>
        <v/>
      </c>
      <c r="C255" s="34">
        <v>241</v>
      </c>
      <c r="D255" s="153"/>
      <c r="E255" s="154"/>
      <c r="F255" s="1775"/>
      <c r="G255" s="155"/>
      <c r="H255" s="156"/>
      <c r="I255" s="154"/>
      <c r="J255" s="157"/>
      <c r="K255" s="156"/>
      <c r="L255" s="154"/>
      <c r="M255" s="609" t="str">
        <f>IF(L255="","",IF(E255="","",IF('1B.TransitionalProg'!$H$8&gt;0,"",VLOOKUP($E255,' 1A.Prop&amp;Residents'!$P$41:$R$47,2,FALSE))))</f>
        <v/>
      </c>
      <c r="N255" s="609" t="str">
        <f>IF(L255="","",IF(E255="","",IF('1B.TransitionalProg'!$H$8&gt;0,"",VLOOKUP($E255,' 1A.Prop&amp;Residents'!$P$41:$R$47,3,FALSE))))</f>
        <v/>
      </c>
      <c r="O255" s="610" t="str">
        <f>IF(L255="", "", IF(E255="", "", IF('1B.TransitionalProg'!$H$8&gt;0,"",IF(L255&lt;M255,"overHOUSED?",IF(L255&gt;N255, "OVERcrowded?","")))))</f>
        <v/>
      </c>
      <c r="P255" s="623"/>
      <c r="Q255" s="154"/>
      <c r="R255" s="154"/>
      <c r="S255" s="156"/>
      <c r="T255" s="156"/>
      <c r="U255" s="156"/>
      <c r="V255" s="156"/>
      <c r="W255" s="1580" t="str">
        <f t="shared" si="9"/>
        <v/>
      </c>
      <c r="X255" s="155"/>
      <c r="Y255" s="156"/>
      <c r="Z255" s="233" t="str">
        <f t="shared" si="10"/>
        <v/>
      </c>
      <c r="AA255" s="1447">
        <f>VLOOKUP($C255,'3B.Demographic'!$C$15:$N$414,6,FALSE)</f>
        <v>0</v>
      </c>
      <c r="AB255" s="1447">
        <f>VLOOKUP($C255,'3B.Demographic'!$C$15:$N$414,7,FALSE)</f>
        <v>0</v>
      </c>
      <c r="AC255" s="1447">
        <f>VLOOKUP($C255,'3B.Demographic'!$C$15:$N$414,8,FALSE)</f>
        <v>0</v>
      </c>
      <c r="AD255" s="1447">
        <f>VLOOKUP($C255,'3B.Demographic'!$C$15:$N$414,9,FALSE)</f>
        <v>0</v>
      </c>
      <c r="AE255" s="1447">
        <f>VLOOKUP($C255,'3B.Demographic'!$C$15:$N$414,10,FALSE)</f>
        <v>0</v>
      </c>
      <c r="AF255" s="1475">
        <f>VLOOKUP($C255,'3B.Demographic'!$C$15:$N$414,11,FALSE)</f>
        <v>0</v>
      </c>
      <c r="AG255" s="1229">
        <f>VLOOKUP($C255,'3B.Demographic'!$C$15:$N$414,12,FALSE)</f>
        <v>0</v>
      </c>
    </row>
    <row r="256" spans="1:33" ht="20.100000000000001" customHeight="1">
      <c r="A256" s="217" t="str">
        <f>IF(D256&lt;&gt;"", ' 1A.Prop&amp;Residents'!$B$7, "")</f>
        <v/>
      </c>
      <c r="B256" s="217" t="str">
        <f t="shared" si="11"/>
        <v/>
      </c>
      <c r="C256" s="34">
        <v>242</v>
      </c>
      <c r="D256" s="153"/>
      <c r="E256" s="154"/>
      <c r="F256" s="1775"/>
      <c r="G256" s="155"/>
      <c r="H256" s="156"/>
      <c r="I256" s="154"/>
      <c r="J256" s="157"/>
      <c r="K256" s="156"/>
      <c r="L256" s="154"/>
      <c r="M256" s="609" t="str">
        <f>IF(L256="","",IF(E256="","",IF('1B.TransitionalProg'!$H$8&gt;0,"",VLOOKUP($E256,' 1A.Prop&amp;Residents'!$P$41:$R$47,2,FALSE))))</f>
        <v/>
      </c>
      <c r="N256" s="609" t="str">
        <f>IF(L256="","",IF(E256="","",IF('1B.TransitionalProg'!$H$8&gt;0,"",VLOOKUP($E256,' 1A.Prop&amp;Residents'!$P$41:$R$47,3,FALSE))))</f>
        <v/>
      </c>
      <c r="O256" s="610" t="str">
        <f>IF(L256="", "", IF(E256="", "", IF('1B.TransitionalProg'!$H$8&gt;0,"",IF(L256&lt;M256,"overHOUSED?",IF(L256&gt;N256, "OVERcrowded?","")))))</f>
        <v/>
      </c>
      <c r="P256" s="623"/>
      <c r="Q256" s="154"/>
      <c r="R256" s="154"/>
      <c r="S256" s="156"/>
      <c r="T256" s="156"/>
      <c r="U256" s="156"/>
      <c r="V256" s="156"/>
      <c r="W256" s="1580" t="str">
        <f t="shared" si="9"/>
        <v/>
      </c>
      <c r="X256" s="155"/>
      <c r="Y256" s="156"/>
      <c r="Z256" s="233" t="str">
        <f t="shared" si="10"/>
        <v/>
      </c>
      <c r="AA256" s="1447">
        <f>VLOOKUP($C256,'3B.Demographic'!$C$15:$N$414,6,FALSE)</f>
        <v>0</v>
      </c>
      <c r="AB256" s="1447">
        <f>VLOOKUP($C256,'3B.Demographic'!$C$15:$N$414,7,FALSE)</f>
        <v>0</v>
      </c>
      <c r="AC256" s="1447">
        <f>VLOOKUP($C256,'3B.Demographic'!$C$15:$N$414,8,FALSE)</f>
        <v>0</v>
      </c>
      <c r="AD256" s="1447">
        <f>VLOOKUP($C256,'3B.Demographic'!$C$15:$N$414,9,FALSE)</f>
        <v>0</v>
      </c>
      <c r="AE256" s="1447">
        <f>VLOOKUP($C256,'3B.Demographic'!$C$15:$N$414,10,FALSE)</f>
        <v>0</v>
      </c>
      <c r="AF256" s="1475">
        <f>VLOOKUP($C256,'3B.Demographic'!$C$15:$N$414,11,FALSE)</f>
        <v>0</v>
      </c>
      <c r="AG256" s="1229">
        <f>VLOOKUP($C256,'3B.Demographic'!$C$15:$N$414,12,FALSE)</f>
        <v>0</v>
      </c>
    </row>
    <row r="257" spans="1:33" ht="20.100000000000001" customHeight="1">
      <c r="A257" s="217" t="str">
        <f>IF(D257&lt;&gt;"", ' 1A.Prop&amp;Residents'!$B$7, "")</f>
        <v/>
      </c>
      <c r="B257" s="217" t="str">
        <f t="shared" si="11"/>
        <v/>
      </c>
      <c r="C257" s="34">
        <v>243</v>
      </c>
      <c r="D257" s="153"/>
      <c r="E257" s="154"/>
      <c r="F257" s="1775"/>
      <c r="G257" s="155"/>
      <c r="H257" s="156"/>
      <c r="I257" s="154"/>
      <c r="J257" s="157"/>
      <c r="K257" s="156"/>
      <c r="L257" s="154"/>
      <c r="M257" s="609" t="str">
        <f>IF(L257="","",IF(E257="","",IF('1B.TransitionalProg'!$H$8&gt;0,"",VLOOKUP($E257,' 1A.Prop&amp;Residents'!$P$41:$R$47,2,FALSE))))</f>
        <v/>
      </c>
      <c r="N257" s="609" t="str">
        <f>IF(L257="","",IF(E257="","",IF('1B.TransitionalProg'!$H$8&gt;0,"",VLOOKUP($E257,' 1A.Prop&amp;Residents'!$P$41:$R$47,3,FALSE))))</f>
        <v/>
      </c>
      <c r="O257" s="610" t="str">
        <f>IF(L257="", "", IF(E257="", "", IF('1B.TransitionalProg'!$H$8&gt;0,"",IF(L257&lt;M257,"overHOUSED?",IF(L257&gt;N257, "OVERcrowded?","")))))</f>
        <v/>
      </c>
      <c r="P257" s="623"/>
      <c r="Q257" s="154"/>
      <c r="R257" s="154"/>
      <c r="S257" s="156"/>
      <c r="T257" s="156"/>
      <c r="U257" s="156"/>
      <c r="V257" s="156"/>
      <c r="W257" s="1580" t="str">
        <f t="shared" si="9"/>
        <v/>
      </c>
      <c r="X257" s="155"/>
      <c r="Y257" s="156"/>
      <c r="Z257" s="233" t="str">
        <f t="shared" si="10"/>
        <v/>
      </c>
      <c r="AA257" s="1447">
        <f>VLOOKUP($C257,'3B.Demographic'!$C$15:$N$414,6,FALSE)</f>
        <v>0</v>
      </c>
      <c r="AB257" s="1447">
        <f>VLOOKUP($C257,'3B.Demographic'!$C$15:$N$414,7,FALSE)</f>
        <v>0</v>
      </c>
      <c r="AC257" s="1447">
        <f>VLOOKUP($C257,'3B.Demographic'!$C$15:$N$414,8,FALSE)</f>
        <v>0</v>
      </c>
      <c r="AD257" s="1447">
        <f>VLOOKUP($C257,'3B.Demographic'!$C$15:$N$414,9,FALSE)</f>
        <v>0</v>
      </c>
      <c r="AE257" s="1447">
        <f>VLOOKUP($C257,'3B.Demographic'!$C$15:$N$414,10,FALSE)</f>
        <v>0</v>
      </c>
      <c r="AF257" s="1475">
        <f>VLOOKUP($C257,'3B.Demographic'!$C$15:$N$414,11,FALSE)</f>
        <v>0</v>
      </c>
      <c r="AG257" s="1229">
        <f>VLOOKUP($C257,'3B.Demographic'!$C$15:$N$414,12,FALSE)</f>
        <v>0</v>
      </c>
    </row>
    <row r="258" spans="1:33" ht="20.100000000000001" customHeight="1">
      <c r="A258" s="217" t="str">
        <f>IF(D258&lt;&gt;"", ' 1A.Prop&amp;Residents'!$B$7, "")</f>
        <v/>
      </c>
      <c r="B258" s="217" t="str">
        <f t="shared" si="11"/>
        <v/>
      </c>
      <c r="C258" s="34">
        <v>244</v>
      </c>
      <c r="D258" s="153"/>
      <c r="E258" s="154"/>
      <c r="F258" s="1775"/>
      <c r="G258" s="155"/>
      <c r="H258" s="156"/>
      <c r="I258" s="154"/>
      <c r="J258" s="157"/>
      <c r="K258" s="156"/>
      <c r="L258" s="154"/>
      <c r="M258" s="609" t="str">
        <f>IF(L258="","",IF(E258="","",IF('1B.TransitionalProg'!$H$8&gt;0,"",VLOOKUP($E258,' 1A.Prop&amp;Residents'!$P$41:$R$47,2,FALSE))))</f>
        <v/>
      </c>
      <c r="N258" s="609" t="str">
        <f>IF(L258="","",IF(E258="","",IF('1B.TransitionalProg'!$H$8&gt;0,"",VLOOKUP($E258,' 1A.Prop&amp;Residents'!$P$41:$R$47,3,FALSE))))</f>
        <v/>
      </c>
      <c r="O258" s="610" t="str">
        <f>IF(L258="", "", IF(E258="", "", IF('1B.TransitionalProg'!$H$8&gt;0,"",IF(L258&lt;M258,"overHOUSED?",IF(L258&gt;N258, "OVERcrowded?","")))))</f>
        <v/>
      </c>
      <c r="P258" s="623"/>
      <c r="Q258" s="154"/>
      <c r="R258" s="154"/>
      <c r="S258" s="156"/>
      <c r="T258" s="156"/>
      <c r="U258" s="156"/>
      <c r="V258" s="156"/>
      <c r="W258" s="1580" t="str">
        <f t="shared" si="9"/>
        <v/>
      </c>
      <c r="X258" s="155"/>
      <c r="Y258" s="156"/>
      <c r="Z258" s="233" t="str">
        <f t="shared" si="10"/>
        <v/>
      </c>
      <c r="AA258" s="1447">
        <f>VLOOKUP($C258,'3B.Demographic'!$C$15:$N$414,6,FALSE)</f>
        <v>0</v>
      </c>
      <c r="AB258" s="1447">
        <f>VLOOKUP($C258,'3B.Demographic'!$C$15:$N$414,7,FALSE)</f>
        <v>0</v>
      </c>
      <c r="AC258" s="1447">
        <f>VLOOKUP($C258,'3B.Demographic'!$C$15:$N$414,8,FALSE)</f>
        <v>0</v>
      </c>
      <c r="AD258" s="1447">
        <f>VLOOKUP($C258,'3B.Demographic'!$C$15:$N$414,9,FALSE)</f>
        <v>0</v>
      </c>
      <c r="AE258" s="1447">
        <f>VLOOKUP($C258,'3B.Demographic'!$C$15:$N$414,10,FALSE)</f>
        <v>0</v>
      </c>
      <c r="AF258" s="1475">
        <f>VLOOKUP($C258,'3B.Demographic'!$C$15:$N$414,11,FALSE)</f>
        <v>0</v>
      </c>
      <c r="AG258" s="1229">
        <f>VLOOKUP($C258,'3B.Demographic'!$C$15:$N$414,12,FALSE)</f>
        <v>0</v>
      </c>
    </row>
    <row r="259" spans="1:33" ht="20.100000000000001" customHeight="1">
      <c r="A259" s="217" t="str">
        <f>IF(D259&lt;&gt;"", ' 1A.Prop&amp;Residents'!$B$7, "")</f>
        <v/>
      </c>
      <c r="B259" s="217" t="str">
        <f t="shared" si="11"/>
        <v/>
      </c>
      <c r="C259" s="34">
        <v>245</v>
      </c>
      <c r="D259" s="153"/>
      <c r="E259" s="154"/>
      <c r="F259" s="1775"/>
      <c r="G259" s="155"/>
      <c r="H259" s="156"/>
      <c r="I259" s="154"/>
      <c r="J259" s="157"/>
      <c r="K259" s="156"/>
      <c r="L259" s="154"/>
      <c r="M259" s="609" t="str">
        <f>IF(L259="","",IF(E259="","",IF('1B.TransitionalProg'!$H$8&gt;0,"",VLOOKUP($E259,' 1A.Prop&amp;Residents'!$P$41:$R$47,2,FALSE))))</f>
        <v/>
      </c>
      <c r="N259" s="609" t="str">
        <f>IF(L259="","",IF(E259="","",IF('1B.TransitionalProg'!$H$8&gt;0,"",VLOOKUP($E259,' 1A.Prop&amp;Residents'!$P$41:$R$47,3,FALSE))))</f>
        <v/>
      </c>
      <c r="O259" s="610" t="str">
        <f>IF(L259="", "", IF(E259="", "", IF('1B.TransitionalProg'!$H$8&gt;0,"",IF(L259&lt;M259,"overHOUSED?",IF(L259&gt;N259, "OVERcrowded?","")))))</f>
        <v/>
      </c>
      <c r="P259" s="623"/>
      <c r="Q259" s="154"/>
      <c r="R259" s="154"/>
      <c r="S259" s="156"/>
      <c r="T259" s="156"/>
      <c r="U259" s="156"/>
      <c r="V259" s="156"/>
      <c r="W259" s="1580" t="str">
        <f t="shared" si="9"/>
        <v/>
      </c>
      <c r="X259" s="155"/>
      <c r="Y259" s="156"/>
      <c r="Z259" s="233" t="str">
        <f t="shared" si="10"/>
        <v/>
      </c>
      <c r="AA259" s="1447">
        <f>VLOOKUP($C259,'3B.Demographic'!$C$15:$N$414,6,FALSE)</f>
        <v>0</v>
      </c>
      <c r="AB259" s="1447">
        <f>VLOOKUP($C259,'3B.Demographic'!$C$15:$N$414,7,FALSE)</f>
        <v>0</v>
      </c>
      <c r="AC259" s="1447">
        <f>VLOOKUP($C259,'3B.Demographic'!$C$15:$N$414,8,FALSE)</f>
        <v>0</v>
      </c>
      <c r="AD259" s="1447">
        <f>VLOOKUP($C259,'3B.Demographic'!$C$15:$N$414,9,FALSE)</f>
        <v>0</v>
      </c>
      <c r="AE259" s="1447">
        <f>VLOOKUP($C259,'3B.Demographic'!$C$15:$N$414,10,FALSE)</f>
        <v>0</v>
      </c>
      <c r="AF259" s="1475">
        <f>VLOOKUP($C259,'3B.Demographic'!$C$15:$N$414,11,FALSE)</f>
        <v>0</v>
      </c>
      <c r="AG259" s="1229">
        <f>VLOOKUP($C259,'3B.Demographic'!$C$15:$N$414,12,FALSE)</f>
        <v>0</v>
      </c>
    </row>
    <row r="260" spans="1:33" ht="20.100000000000001" customHeight="1">
      <c r="A260" s="217" t="str">
        <f>IF(D260&lt;&gt;"", ' 1A.Prop&amp;Residents'!$B$7, "")</f>
        <v/>
      </c>
      <c r="B260" s="217" t="str">
        <f t="shared" si="11"/>
        <v/>
      </c>
      <c r="C260" s="34">
        <v>246</v>
      </c>
      <c r="D260" s="153"/>
      <c r="E260" s="154"/>
      <c r="F260" s="1775"/>
      <c r="G260" s="155"/>
      <c r="H260" s="156"/>
      <c r="I260" s="154"/>
      <c r="J260" s="157"/>
      <c r="K260" s="156"/>
      <c r="L260" s="154"/>
      <c r="M260" s="609" t="str">
        <f>IF(L260="","",IF(E260="","",IF('1B.TransitionalProg'!$H$8&gt;0,"",VLOOKUP($E260,' 1A.Prop&amp;Residents'!$P$41:$R$47,2,FALSE))))</f>
        <v/>
      </c>
      <c r="N260" s="609" t="str">
        <f>IF(L260="","",IF(E260="","",IF('1B.TransitionalProg'!$H$8&gt;0,"",VLOOKUP($E260,' 1A.Prop&amp;Residents'!$P$41:$R$47,3,FALSE))))</f>
        <v/>
      </c>
      <c r="O260" s="610" t="str">
        <f>IF(L260="", "", IF(E260="", "", IF('1B.TransitionalProg'!$H$8&gt;0,"",IF(L260&lt;M260,"overHOUSED?",IF(L260&gt;N260, "OVERcrowded?","")))))</f>
        <v/>
      </c>
      <c r="P260" s="623"/>
      <c r="Q260" s="154"/>
      <c r="R260" s="154"/>
      <c r="S260" s="156"/>
      <c r="T260" s="156"/>
      <c r="U260" s="156"/>
      <c r="V260" s="156"/>
      <c r="W260" s="1580" t="str">
        <f t="shared" si="9"/>
        <v/>
      </c>
      <c r="X260" s="155"/>
      <c r="Y260" s="156"/>
      <c r="Z260" s="233" t="str">
        <f t="shared" si="10"/>
        <v/>
      </c>
      <c r="AA260" s="1447">
        <f>VLOOKUP($C260,'3B.Demographic'!$C$15:$N$414,6,FALSE)</f>
        <v>0</v>
      </c>
      <c r="AB260" s="1447">
        <f>VLOOKUP($C260,'3B.Demographic'!$C$15:$N$414,7,FALSE)</f>
        <v>0</v>
      </c>
      <c r="AC260" s="1447">
        <f>VLOOKUP($C260,'3B.Demographic'!$C$15:$N$414,8,FALSE)</f>
        <v>0</v>
      </c>
      <c r="AD260" s="1447">
        <f>VLOOKUP($C260,'3B.Demographic'!$C$15:$N$414,9,FALSE)</f>
        <v>0</v>
      </c>
      <c r="AE260" s="1447">
        <f>VLOOKUP($C260,'3B.Demographic'!$C$15:$N$414,10,FALSE)</f>
        <v>0</v>
      </c>
      <c r="AF260" s="1475">
        <f>VLOOKUP($C260,'3B.Demographic'!$C$15:$N$414,11,FALSE)</f>
        <v>0</v>
      </c>
      <c r="AG260" s="1229">
        <f>VLOOKUP($C260,'3B.Demographic'!$C$15:$N$414,12,FALSE)</f>
        <v>0</v>
      </c>
    </row>
    <row r="261" spans="1:33" ht="20.100000000000001" customHeight="1">
      <c r="A261" s="217" t="str">
        <f>IF(D261&lt;&gt;"", ' 1A.Prop&amp;Residents'!$B$7, "")</f>
        <v/>
      </c>
      <c r="B261" s="217" t="str">
        <f t="shared" si="11"/>
        <v/>
      </c>
      <c r="C261" s="34">
        <v>247</v>
      </c>
      <c r="D261" s="153"/>
      <c r="E261" s="154"/>
      <c r="F261" s="1775"/>
      <c r="G261" s="155"/>
      <c r="H261" s="156"/>
      <c r="I261" s="154"/>
      <c r="J261" s="157"/>
      <c r="K261" s="156"/>
      <c r="L261" s="154"/>
      <c r="M261" s="609" t="str">
        <f>IF(L261="","",IF(E261="","",IF('1B.TransitionalProg'!$H$8&gt;0,"",VLOOKUP($E261,' 1A.Prop&amp;Residents'!$P$41:$R$47,2,FALSE))))</f>
        <v/>
      </c>
      <c r="N261" s="609" t="str">
        <f>IF(L261="","",IF(E261="","",IF('1B.TransitionalProg'!$H$8&gt;0,"",VLOOKUP($E261,' 1A.Prop&amp;Residents'!$P$41:$R$47,3,FALSE))))</f>
        <v/>
      </c>
      <c r="O261" s="610" t="str">
        <f>IF(L261="", "", IF(E261="", "", IF('1B.TransitionalProg'!$H$8&gt;0,"",IF(L261&lt;M261,"overHOUSED?",IF(L261&gt;N261, "OVERcrowded?","")))))</f>
        <v/>
      </c>
      <c r="P261" s="623"/>
      <c r="Q261" s="154"/>
      <c r="R261" s="154"/>
      <c r="S261" s="156"/>
      <c r="T261" s="156"/>
      <c r="U261" s="156"/>
      <c r="V261" s="156"/>
      <c r="W261" s="1580" t="str">
        <f t="shared" si="9"/>
        <v/>
      </c>
      <c r="X261" s="155"/>
      <c r="Y261" s="156"/>
      <c r="Z261" s="233" t="str">
        <f t="shared" si="10"/>
        <v/>
      </c>
      <c r="AA261" s="1447">
        <f>VLOOKUP($C261,'3B.Demographic'!$C$15:$N$414,6,FALSE)</f>
        <v>0</v>
      </c>
      <c r="AB261" s="1447">
        <f>VLOOKUP($C261,'3B.Demographic'!$C$15:$N$414,7,FALSE)</f>
        <v>0</v>
      </c>
      <c r="AC261" s="1447">
        <f>VLOOKUP($C261,'3B.Demographic'!$C$15:$N$414,8,FALSE)</f>
        <v>0</v>
      </c>
      <c r="AD261" s="1447">
        <f>VLOOKUP($C261,'3B.Demographic'!$C$15:$N$414,9,FALSE)</f>
        <v>0</v>
      </c>
      <c r="AE261" s="1447">
        <f>VLOOKUP($C261,'3B.Demographic'!$C$15:$N$414,10,FALSE)</f>
        <v>0</v>
      </c>
      <c r="AF261" s="1475">
        <f>VLOOKUP($C261,'3B.Demographic'!$C$15:$N$414,11,FALSE)</f>
        <v>0</v>
      </c>
      <c r="AG261" s="1229">
        <f>VLOOKUP($C261,'3B.Demographic'!$C$15:$N$414,12,FALSE)</f>
        <v>0</v>
      </c>
    </row>
    <row r="262" spans="1:33" ht="20.100000000000001" customHeight="1">
      <c r="A262" s="217" t="str">
        <f>IF(D262&lt;&gt;"", ' 1A.Prop&amp;Residents'!$B$7, "")</f>
        <v/>
      </c>
      <c r="B262" s="217" t="str">
        <f t="shared" si="11"/>
        <v/>
      </c>
      <c r="C262" s="34">
        <v>248</v>
      </c>
      <c r="D262" s="153"/>
      <c r="E262" s="154"/>
      <c r="F262" s="1775"/>
      <c r="G262" s="155"/>
      <c r="H262" s="156"/>
      <c r="I262" s="154"/>
      <c r="J262" s="157"/>
      <c r="K262" s="156"/>
      <c r="L262" s="154"/>
      <c r="M262" s="609" t="str">
        <f>IF(L262="","",IF(E262="","",IF('1B.TransitionalProg'!$H$8&gt;0,"",VLOOKUP($E262,' 1A.Prop&amp;Residents'!$P$41:$R$47,2,FALSE))))</f>
        <v/>
      </c>
      <c r="N262" s="609" t="str">
        <f>IF(L262="","",IF(E262="","",IF('1B.TransitionalProg'!$H$8&gt;0,"",VLOOKUP($E262,' 1A.Prop&amp;Residents'!$P$41:$R$47,3,FALSE))))</f>
        <v/>
      </c>
      <c r="O262" s="610" t="str">
        <f>IF(L262="", "", IF(E262="", "", IF('1B.TransitionalProg'!$H$8&gt;0,"",IF(L262&lt;M262,"overHOUSED?",IF(L262&gt;N262, "OVERcrowded?","")))))</f>
        <v/>
      </c>
      <c r="P262" s="623"/>
      <c r="Q262" s="154"/>
      <c r="R262" s="154"/>
      <c r="S262" s="156"/>
      <c r="T262" s="156"/>
      <c r="U262" s="156"/>
      <c r="V262" s="156"/>
      <c r="W262" s="1580" t="str">
        <f t="shared" si="9"/>
        <v/>
      </c>
      <c r="X262" s="155"/>
      <c r="Y262" s="156"/>
      <c r="Z262" s="233" t="str">
        <f t="shared" si="10"/>
        <v/>
      </c>
      <c r="AA262" s="1447">
        <f>VLOOKUP($C262,'3B.Demographic'!$C$15:$N$414,6,FALSE)</f>
        <v>0</v>
      </c>
      <c r="AB262" s="1447">
        <f>VLOOKUP($C262,'3B.Demographic'!$C$15:$N$414,7,FALSE)</f>
        <v>0</v>
      </c>
      <c r="AC262" s="1447">
        <f>VLOOKUP($C262,'3B.Demographic'!$C$15:$N$414,8,FALSE)</f>
        <v>0</v>
      </c>
      <c r="AD262" s="1447">
        <f>VLOOKUP($C262,'3B.Demographic'!$C$15:$N$414,9,FALSE)</f>
        <v>0</v>
      </c>
      <c r="AE262" s="1447">
        <f>VLOOKUP($C262,'3B.Demographic'!$C$15:$N$414,10,FALSE)</f>
        <v>0</v>
      </c>
      <c r="AF262" s="1475">
        <f>VLOOKUP($C262,'3B.Demographic'!$C$15:$N$414,11,FALSE)</f>
        <v>0</v>
      </c>
      <c r="AG262" s="1229">
        <f>VLOOKUP($C262,'3B.Demographic'!$C$15:$N$414,12,FALSE)</f>
        <v>0</v>
      </c>
    </row>
    <row r="263" spans="1:33" ht="20.100000000000001" customHeight="1">
      <c r="A263" s="217" t="str">
        <f>IF(D263&lt;&gt;"", ' 1A.Prop&amp;Residents'!$B$7, "")</f>
        <v/>
      </c>
      <c r="B263" s="217" t="str">
        <f t="shared" si="11"/>
        <v/>
      </c>
      <c r="C263" s="34">
        <v>249</v>
      </c>
      <c r="D263" s="153"/>
      <c r="E263" s="154"/>
      <c r="F263" s="1775"/>
      <c r="G263" s="155"/>
      <c r="H263" s="156"/>
      <c r="I263" s="154"/>
      <c r="J263" s="157"/>
      <c r="K263" s="156"/>
      <c r="L263" s="154"/>
      <c r="M263" s="609" t="str">
        <f>IF(L263="","",IF(E263="","",IF('1B.TransitionalProg'!$H$8&gt;0,"",VLOOKUP($E263,' 1A.Prop&amp;Residents'!$P$41:$R$47,2,FALSE))))</f>
        <v/>
      </c>
      <c r="N263" s="609" t="str">
        <f>IF(L263="","",IF(E263="","",IF('1B.TransitionalProg'!$H$8&gt;0,"",VLOOKUP($E263,' 1A.Prop&amp;Residents'!$P$41:$R$47,3,FALSE))))</f>
        <v/>
      </c>
      <c r="O263" s="610" t="str">
        <f>IF(L263="", "", IF(E263="", "", IF('1B.TransitionalProg'!$H$8&gt;0,"",IF(L263&lt;M263,"overHOUSED?",IF(L263&gt;N263, "OVERcrowded?","")))))</f>
        <v/>
      </c>
      <c r="P263" s="623"/>
      <c r="Q263" s="154"/>
      <c r="R263" s="154"/>
      <c r="S263" s="156"/>
      <c r="T263" s="156"/>
      <c r="U263" s="156"/>
      <c r="V263" s="156"/>
      <c r="W263" s="1580" t="str">
        <f t="shared" si="9"/>
        <v/>
      </c>
      <c r="X263" s="155"/>
      <c r="Y263" s="156"/>
      <c r="Z263" s="233" t="str">
        <f t="shared" si="10"/>
        <v/>
      </c>
      <c r="AA263" s="1447">
        <f>VLOOKUP($C263,'3B.Demographic'!$C$15:$N$414,6,FALSE)</f>
        <v>0</v>
      </c>
      <c r="AB263" s="1447">
        <f>VLOOKUP($C263,'3B.Demographic'!$C$15:$N$414,7,FALSE)</f>
        <v>0</v>
      </c>
      <c r="AC263" s="1447">
        <f>VLOOKUP($C263,'3B.Demographic'!$C$15:$N$414,8,FALSE)</f>
        <v>0</v>
      </c>
      <c r="AD263" s="1447">
        <f>VLOOKUP($C263,'3B.Demographic'!$C$15:$N$414,9,FALSE)</f>
        <v>0</v>
      </c>
      <c r="AE263" s="1447">
        <f>VLOOKUP($C263,'3B.Demographic'!$C$15:$N$414,10,FALSE)</f>
        <v>0</v>
      </c>
      <c r="AF263" s="1475">
        <f>VLOOKUP($C263,'3B.Demographic'!$C$15:$N$414,11,FALSE)</f>
        <v>0</v>
      </c>
      <c r="AG263" s="1229">
        <f>VLOOKUP($C263,'3B.Demographic'!$C$15:$N$414,12,FALSE)</f>
        <v>0</v>
      </c>
    </row>
    <row r="264" spans="1:33" ht="20.100000000000001" customHeight="1">
      <c r="A264" s="217" t="str">
        <f>IF(D264&lt;&gt;"", ' 1A.Prop&amp;Residents'!$B$7, "")</f>
        <v/>
      </c>
      <c r="B264" s="217" t="str">
        <f t="shared" si="11"/>
        <v/>
      </c>
      <c r="C264" s="34">
        <v>250</v>
      </c>
      <c r="D264" s="153"/>
      <c r="E264" s="154"/>
      <c r="F264" s="1775"/>
      <c r="G264" s="155"/>
      <c r="H264" s="156"/>
      <c r="I264" s="154"/>
      <c r="J264" s="157"/>
      <c r="K264" s="156"/>
      <c r="L264" s="154"/>
      <c r="M264" s="609" t="str">
        <f>IF(L264="","",IF(E264="","",IF('1B.TransitionalProg'!$H$8&gt;0,"",VLOOKUP($E264,' 1A.Prop&amp;Residents'!$P$41:$R$47,2,FALSE))))</f>
        <v/>
      </c>
      <c r="N264" s="609" t="str">
        <f>IF(L264="","",IF(E264="","",IF('1B.TransitionalProg'!$H$8&gt;0,"",VLOOKUP($E264,' 1A.Prop&amp;Residents'!$P$41:$R$47,3,FALSE))))</f>
        <v/>
      </c>
      <c r="O264" s="610" t="str">
        <f>IF(L264="", "", IF(E264="", "", IF('1B.TransitionalProg'!$H$8&gt;0,"",IF(L264&lt;M264,"overHOUSED?",IF(L264&gt;N264, "OVERcrowded?","")))))</f>
        <v/>
      </c>
      <c r="P264" s="623"/>
      <c r="Q264" s="154"/>
      <c r="R264" s="154"/>
      <c r="S264" s="156"/>
      <c r="T264" s="156"/>
      <c r="U264" s="156"/>
      <c r="V264" s="156"/>
      <c r="W264" s="1580" t="str">
        <f t="shared" si="9"/>
        <v/>
      </c>
      <c r="X264" s="155"/>
      <c r="Y264" s="156"/>
      <c r="Z264" s="233" t="str">
        <f t="shared" si="10"/>
        <v/>
      </c>
      <c r="AA264" s="1447">
        <f>VLOOKUP($C264,'3B.Demographic'!$C$15:$N$414,6,FALSE)</f>
        <v>0</v>
      </c>
      <c r="AB264" s="1447">
        <f>VLOOKUP($C264,'3B.Demographic'!$C$15:$N$414,7,FALSE)</f>
        <v>0</v>
      </c>
      <c r="AC264" s="1447">
        <f>VLOOKUP($C264,'3B.Demographic'!$C$15:$N$414,8,FALSE)</f>
        <v>0</v>
      </c>
      <c r="AD264" s="1447">
        <f>VLOOKUP($C264,'3B.Demographic'!$C$15:$N$414,9,FALSE)</f>
        <v>0</v>
      </c>
      <c r="AE264" s="1447">
        <f>VLOOKUP($C264,'3B.Demographic'!$C$15:$N$414,10,FALSE)</f>
        <v>0</v>
      </c>
      <c r="AF264" s="1475">
        <f>VLOOKUP($C264,'3B.Demographic'!$C$15:$N$414,11,FALSE)</f>
        <v>0</v>
      </c>
      <c r="AG264" s="1229">
        <f>VLOOKUP($C264,'3B.Demographic'!$C$15:$N$414,12,FALSE)</f>
        <v>0</v>
      </c>
    </row>
    <row r="265" spans="1:33" ht="20.100000000000001" customHeight="1">
      <c r="A265" s="217" t="str">
        <f>IF(D265&lt;&gt;"", ' 1A.Prop&amp;Residents'!$B$7, "")</f>
        <v/>
      </c>
      <c r="B265" s="217" t="str">
        <f t="shared" si="11"/>
        <v/>
      </c>
      <c r="C265" s="34">
        <v>251</v>
      </c>
      <c r="D265" s="153"/>
      <c r="E265" s="154"/>
      <c r="F265" s="1775"/>
      <c r="G265" s="155"/>
      <c r="H265" s="156"/>
      <c r="I265" s="154"/>
      <c r="J265" s="157"/>
      <c r="K265" s="156"/>
      <c r="L265" s="154"/>
      <c r="M265" s="609" t="str">
        <f>IF(L265="","",IF(E265="","",IF('1B.TransitionalProg'!$H$8&gt;0,"",VLOOKUP($E265,' 1A.Prop&amp;Residents'!$P$41:$R$47,2,FALSE))))</f>
        <v/>
      </c>
      <c r="N265" s="609" t="str">
        <f>IF(L265="","",IF(E265="","",IF('1B.TransitionalProg'!$H$8&gt;0,"",VLOOKUP($E265,' 1A.Prop&amp;Residents'!$P$41:$R$47,3,FALSE))))</f>
        <v/>
      </c>
      <c r="O265" s="610" t="str">
        <f>IF(L265="", "", IF(E265="", "", IF('1B.TransitionalProg'!$H$8&gt;0,"",IF(L265&lt;M265,"overHOUSED?",IF(L265&gt;N265, "OVERcrowded?","")))))</f>
        <v/>
      </c>
      <c r="P265" s="623"/>
      <c r="Q265" s="154"/>
      <c r="R265" s="154"/>
      <c r="S265" s="156"/>
      <c r="T265" s="156"/>
      <c r="U265" s="156"/>
      <c r="V265" s="156"/>
      <c r="W265" s="1580" t="str">
        <f t="shared" si="9"/>
        <v/>
      </c>
      <c r="X265" s="155"/>
      <c r="Y265" s="156"/>
      <c r="Z265" s="233" t="str">
        <f t="shared" si="10"/>
        <v/>
      </c>
      <c r="AA265" s="1447">
        <f>VLOOKUP($C265,'3B.Demographic'!$C$15:$N$414,6,FALSE)</f>
        <v>0</v>
      </c>
      <c r="AB265" s="1447">
        <f>VLOOKUP($C265,'3B.Demographic'!$C$15:$N$414,7,FALSE)</f>
        <v>0</v>
      </c>
      <c r="AC265" s="1447">
        <f>VLOOKUP($C265,'3B.Demographic'!$C$15:$N$414,8,FALSE)</f>
        <v>0</v>
      </c>
      <c r="AD265" s="1447">
        <f>VLOOKUP($C265,'3B.Demographic'!$C$15:$N$414,9,FALSE)</f>
        <v>0</v>
      </c>
      <c r="AE265" s="1447">
        <f>VLOOKUP($C265,'3B.Demographic'!$C$15:$N$414,10,FALSE)</f>
        <v>0</v>
      </c>
      <c r="AF265" s="1475">
        <f>VLOOKUP($C265,'3B.Demographic'!$C$15:$N$414,11,FALSE)</f>
        <v>0</v>
      </c>
      <c r="AG265" s="1229">
        <f>VLOOKUP($C265,'3B.Demographic'!$C$15:$N$414,12,FALSE)</f>
        <v>0</v>
      </c>
    </row>
    <row r="266" spans="1:33" ht="20.100000000000001" customHeight="1">
      <c r="A266" s="217" t="str">
        <f>IF(D266&lt;&gt;"", ' 1A.Prop&amp;Residents'!$B$7, "")</f>
        <v/>
      </c>
      <c r="B266" s="217" t="str">
        <f t="shared" si="11"/>
        <v/>
      </c>
      <c r="C266" s="34">
        <v>252</v>
      </c>
      <c r="D266" s="153"/>
      <c r="E266" s="154"/>
      <c r="F266" s="1775"/>
      <c r="G266" s="155"/>
      <c r="H266" s="156"/>
      <c r="I266" s="154"/>
      <c r="J266" s="157"/>
      <c r="K266" s="156"/>
      <c r="L266" s="154"/>
      <c r="M266" s="609" t="str">
        <f>IF(L266="","",IF(E266="","",IF('1B.TransitionalProg'!$H$8&gt;0,"",VLOOKUP($E266,' 1A.Prop&amp;Residents'!$P$41:$R$47,2,FALSE))))</f>
        <v/>
      </c>
      <c r="N266" s="609" t="str">
        <f>IF(L266="","",IF(E266="","",IF('1B.TransitionalProg'!$H$8&gt;0,"",VLOOKUP($E266,' 1A.Prop&amp;Residents'!$P$41:$R$47,3,FALSE))))</f>
        <v/>
      </c>
      <c r="O266" s="610" t="str">
        <f>IF(L266="", "", IF(E266="", "", IF('1B.TransitionalProg'!$H$8&gt;0,"",IF(L266&lt;M266,"overHOUSED?",IF(L266&gt;N266, "OVERcrowded?","")))))</f>
        <v/>
      </c>
      <c r="P266" s="623"/>
      <c r="Q266" s="154"/>
      <c r="R266" s="154"/>
      <c r="S266" s="156"/>
      <c r="T266" s="156"/>
      <c r="U266" s="156"/>
      <c r="V266" s="156"/>
      <c r="W266" s="1580" t="str">
        <f t="shared" si="9"/>
        <v/>
      </c>
      <c r="X266" s="155"/>
      <c r="Y266" s="156"/>
      <c r="Z266" s="233" t="str">
        <f t="shared" si="10"/>
        <v/>
      </c>
      <c r="AA266" s="1447">
        <f>VLOOKUP($C266,'3B.Demographic'!$C$15:$N$414,6,FALSE)</f>
        <v>0</v>
      </c>
      <c r="AB266" s="1447">
        <f>VLOOKUP($C266,'3B.Demographic'!$C$15:$N$414,7,FALSE)</f>
        <v>0</v>
      </c>
      <c r="AC266" s="1447">
        <f>VLOOKUP($C266,'3B.Demographic'!$C$15:$N$414,8,FALSE)</f>
        <v>0</v>
      </c>
      <c r="AD266" s="1447">
        <f>VLOOKUP($C266,'3B.Demographic'!$C$15:$N$414,9,FALSE)</f>
        <v>0</v>
      </c>
      <c r="AE266" s="1447">
        <f>VLOOKUP($C266,'3B.Demographic'!$C$15:$N$414,10,FALSE)</f>
        <v>0</v>
      </c>
      <c r="AF266" s="1475">
        <f>VLOOKUP($C266,'3B.Demographic'!$C$15:$N$414,11,FALSE)</f>
        <v>0</v>
      </c>
      <c r="AG266" s="1229">
        <f>VLOOKUP($C266,'3B.Demographic'!$C$15:$N$414,12,FALSE)</f>
        <v>0</v>
      </c>
    </row>
    <row r="267" spans="1:33" ht="20.100000000000001" customHeight="1">
      <c r="A267" s="217" t="str">
        <f>IF(D267&lt;&gt;"", ' 1A.Prop&amp;Residents'!$B$7, "")</f>
        <v/>
      </c>
      <c r="B267" s="217" t="str">
        <f t="shared" si="11"/>
        <v/>
      </c>
      <c r="C267" s="34">
        <v>253</v>
      </c>
      <c r="D267" s="153"/>
      <c r="E267" s="154"/>
      <c r="F267" s="1775"/>
      <c r="G267" s="155"/>
      <c r="H267" s="156"/>
      <c r="I267" s="154"/>
      <c r="J267" s="157"/>
      <c r="K267" s="156"/>
      <c r="L267" s="154"/>
      <c r="M267" s="609" t="str">
        <f>IF(L267="","",IF(E267="","",IF('1B.TransitionalProg'!$H$8&gt;0,"",VLOOKUP($E267,' 1A.Prop&amp;Residents'!$P$41:$R$47,2,FALSE))))</f>
        <v/>
      </c>
      <c r="N267" s="609" t="str">
        <f>IF(L267="","",IF(E267="","",IF('1B.TransitionalProg'!$H$8&gt;0,"",VLOOKUP($E267,' 1A.Prop&amp;Residents'!$P$41:$R$47,3,FALSE))))</f>
        <v/>
      </c>
      <c r="O267" s="610" t="str">
        <f>IF(L267="", "", IF(E267="", "", IF('1B.TransitionalProg'!$H$8&gt;0,"",IF(L267&lt;M267,"overHOUSED?",IF(L267&gt;N267, "OVERcrowded?","")))))</f>
        <v/>
      </c>
      <c r="P267" s="623"/>
      <c r="Q267" s="154"/>
      <c r="R267" s="154"/>
      <c r="S267" s="156"/>
      <c r="T267" s="156"/>
      <c r="U267" s="156"/>
      <c r="V267" s="156"/>
      <c r="W267" s="1580" t="str">
        <f t="shared" si="9"/>
        <v/>
      </c>
      <c r="X267" s="155"/>
      <c r="Y267" s="156"/>
      <c r="Z267" s="233" t="str">
        <f t="shared" si="10"/>
        <v/>
      </c>
      <c r="AA267" s="1447">
        <f>VLOOKUP($C267,'3B.Demographic'!$C$15:$N$414,6,FALSE)</f>
        <v>0</v>
      </c>
      <c r="AB267" s="1447">
        <f>VLOOKUP($C267,'3B.Demographic'!$C$15:$N$414,7,FALSE)</f>
        <v>0</v>
      </c>
      <c r="AC267" s="1447">
        <f>VLOOKUP($C267,'3B.Demographic'!$C$15:$N$414,8,FALSE)</f>
        <v>0</v>
      </c>
      <c r="AD267" s="1447">
        <f>VLOOKUP($C267,'3B.Demographic'!$C$15:$N$414,9,FALSE)</f>
        <v>0</v>
      </c>
      <c r="AE267" s="1447">
        <f>VLOOKUP($C267,'3B.Demographic'!$C$15:$N$414,10,FALSE)</f>
        <v>0</v>
      </c>
      <c r="AF267" s="1475">
        <f>VLOOKUP($C267,'3B.Demographic'!$C$15:$N$414,11,FALSE)</f>
        <v>0</v>
      </c>
      <c r="AG267" s="1229">
        <f>VLOOKUP($C267,'3B.Demographic'!$C$15:$N$414,12,FALSE)</f>
        <v>0</v>
      </c>
    </row>
    <row r="268" spans="1:33" ht="20.100000000000001" customHeight="1">
      <c r="A268" s="217" t="str">
        <f>IF(D268&lt;&gt;"", ' 1A.Prop&amp;Residents'!$B$7, "")</f>
        <v/>
      </c>
      <c r="B268" s="217" t="str">
        <f t="shared" si="11"/>
        <v/>
      </c>
      <c r="C268" s="34">
        <v>254</v>
      </c>
      <c r="D268" s="153"/>
      <c r="E268" s="154"/>
      <c r="F268" s="1775"/>
      <c r="G268" s="155"/>
      <c r="H268" s="156"/>
      <c r="I268" s="154"/>
      <c r="J268" s="157"/>
      <c r="K268" s="156"/>
      <c r="L268" s="154"/>
      <c r="M268" s="609" t="str">
        <f>IF(L268="","",IF(E268="","",IF('1B.TransitionalProg'!$H$8&gt;0,"",VLOOKUP($E268,' 1A.Prop&amp;Residents'!$P$41:$R$47,2,FALSE))))</f>
        <v/>
      </c>
      <c r="N268" s="609" t="str">
        <f>IF(L268="","",IF(E268="","",IF('1B.TransitionalProg'!$H$8&gt;0,"",VLOOKUP($E268,' 1A.Prop&amp;Residents'!$P$41:$R$47,3,FALSE))))</f>
        <v/>
      </c>
      <c r="O268" s="610" t="str">
        <f>IF(L268="", "", IF(E268="", "", IF('1B.TransitionalProg'!$H$8&gt;0,"",IF(L268&lt;M268,"overHOUSED?",IF(L268&gt;N268, "OVERcrowded?","")))))</f>
        <v/>
      </c>
      <c r="P268" s="623"/>
      <c r="Q268" s="154"/>
      <c r="R268" s="154"/>
      <c r="S268" s="156"/>
      <c r="T268" s="156"/>
      <c r="U268" s="156"/>
      <c r="V268" s="156"/>
      <c r="W268" s="1580" t="str">
        <f t="shared" si="9"/>
        <v/>
      </c>
      <c r="X268" s="155"/>
      <c r="Y268" s="156"/>
      <c r="Z268" s="233" t="str">
        <f t="shared" si="10"/>
        <v/>
      </c>
      <c r="AA268" s="1447">
        <f>VLOOKUP($C268,'3B.Demographic'!$C$15:$N$414,6,FALSE)</f>
        <v>0</v>
      </c>
      <c r="AB268" s="1447">
        <f>VLOOKUP($C268,'3B.Demographic'!$C$15:$N$414,7,FALSE)</f>
        <v>0</v>
      </c>
      <c r="AC268" s="1447">
        <f>VLOOKUP($C268,'3B.Demographic'!$C$15:$N$414,8,FALSE)</f>
        <v>0</v>
      </c>
      <c r="AD268" s="1447">
        <f>VLOOKUP($C268,'3B.Demographic'!$C$15:$N$414,9,FALSE)</f>
        <v>0</v>
      </c>
      <c r="AE268" s="1447">
        <f>VLOOKUP($C268,'3B.Demographic'!$C$15:$N$414,10,FALSE)</f>
        <v>0</v>
      </c>
      <c r="AF268" s="1475">
        <f>VLOOKUP($C268,'3B.Demographic'!$C$15:$N$414,11,FALSE)</f>
        <v>0</v>
      </c>
      <c r="AG268" s="1229">
        <f>VLOOKUP($C268,'3B.Demographic'!$C$15:$N$414,12,FALSE)</f>
        <v>0</v>
      </c>
    </row>
    <row r="269" spans="1:33" ht="20.100000000000001" customHeight="1">
      <c r="A269" s="217" t="str">
        <f>IF(D269&lt;&gt;"", ' 1A.Prop&amp;Residents'!$B$7, "")</f>
        <v/>
      </c>
      <c r="B269" s="217" t="str">
        <f t="shared" si="11"/>
        <v/>
      </c>
      <c r="C269" s="34">
        <v>255</v>
      </c>
      <c r="D269" s="153"/>
      <c r="E269" s="154"/>
      <c r="F269" s="1775"/>
      <c r="G269" s="155"/>
      <c r="H269" s="156"/>
      <c r="I269" s="154"/>
      <c r="J269" s="157"/>
      <c r="K269" s="156"/>
      <c r="L269" s="154"/>
      <c r="M269" s="609" t="str">
        <f>IF(L269="","",IF(E269="","",IF('1B.TransitionalProg'!$H$8&gt;0,"",VLOOKUP($E269,' 1A.Prop&amp;Residents'!$P$41:$R$47,2,FALSE))))</f>
        <v/>
      </c>
      <c r="N269" s="609" t="str">
        <f>IF(L269="","",IF(E269="","",IF('1B.TransitionalProg'!$H$8&gt;0,"",VLOOKUP($E269,' 1A.Prop&amp;Residents'!$P$41:$R$47,3,FALSE))))</f>
        <v/>
      </c>
      <c r="O269" s="610" t="str">
        <f>IF(L269="", "", IF(E269="", "", IF('1B.TransitionalProg'!$H$8&gt;0,"",IF(L269&lt;M269,"overHOUSED?",IF(L269&gt;N269, "OVERcrowded?","")))))</f>
        <v/>
      </c>
      <c r="P269" s="623"/>
      <c r="Q269" s="154"/>
      <c r="R269" s="154"/>
      <c r="S269" s="156"/>
      <c r="T269" s="156"/>
      <c r="U269" s="156"/>
      <c r="V269" s="156"/>
      <c r="W269" s="1580" t="str">
        <f t="shared" si="9"/>
        <v/>
      </c>
      <c r="X269" s="155"/>
      <c r="Y269" s="156"/>
      <c r="Z269" s="233" t="str">
        <f t="shared" si="10"/>
        <v/>
      </c>
      <c r="AA269" s="1447">
        <f>VLOOKUP($C269,'3B.Demographic'!$C$15:$N$414,6,FALSE)</f>
        <v>0</v>
      </c>
      <c r="AB269" s="1447">
        <f>VLOOKUP($C269,'3B.Demographic'!$C$15:$N$414,7,FALSE)</f>
        <v>0</v>
      </c>
      <c r="AC269" s="1447">
        <f>VLOOKUP($C269,'3B.Demographic'!$C$15:$N$414,8,FALSE)</f>
        <v>0</v>
      </c>
      <c r="AD269" s="1447">
        <f>VLOOKUP($C269,'3B.Demographic'!$C$15:$N$414,9,FALSE)</f>
        <v>0</v>
      </c>
      <c r="AE269" s="1447">
        <f>VLOOKUP($C269,'3B.Demographic'!$C$15:$N$414,10,FALSE)</f>
        <v>0</v>
      </c>
      <c r="AF269" s="1475">
        <f>VLOOKUP($C269,'3B.Demographic'!$C$15:$N$414,11,FALSE)</f>
        <v>0</v>
      </c>
      <c r="AG269" s="1229">
        <f>VLOOKUP($C269,'3B.Demographic'!$C$15:$N$414,12,FALSE)</f>
        <v>0</v>
      </c>
    </row>
    <row r="270" spans="1:33" ht="20.100000000000001" customHeight="1">
      <c r="A270" s="217" t="str">
        <f>IF(D270&lt;&gt;"", ' 1A.Prop&amp;Residents'!$B$7, "")</f>
        <v/>
      </c>
      <c r="B270" s="217" t="str">
        <f t="shared" si="11"/>
        <v/>
      </c>
      <c r="C270" s="34">
        <v>256</v>
      </c>
      <c r="D270" s="153"/>
      <c r="E270" s="154"/>
      <c r="F270" s="1775"/>
      <c r="G270" s="155"/>
      <c r="H270" s="156"/>
      <c r="I270" s="154"/>
      <c r="J270" s="157"/>
      <c r="K270" s="156"/>
      <c r="L270" s="154"/>
      <c r="M270" s="609" t="str">
        <f>IF(L270="","",IF(E270="","",IF('1B.TransitionalProg'!$H$8&gt;0,"",VLOOKUP($E270,' 1A.Prop&amp;Residents'!$P$41:$R$47,2,FALSE))))</f>
        <v/>
      </c>
      <c r="N270" s="609" t="str">
        <f>IF(L270="","",IF(E270="","",IF('1B.TransitionalProg'!$H$8&gt;0,"",VLOOKUP($E270,' 1A.Prop&amp;Residents'!$P$41:$R$47,3,FALSE))))</f>
        <v/>
      </c>
      <c r="O270" s="610" t="str">
        <f>IF(L270="", "", IF(E270="", "", IF('1B.TransitionalProg'!$H$8&gt;0,"",IF(L270&lt;M270,"overHOUSED?",IF(L270&gt;N270, "OVERcrowded?","")))))</f>
        <v/>
      </c>
      <c r="P270" s="623"/>
      <c r="Q270" s="154"/>
      <c r="R270" s="154"/>
      <c r="S270" s="156"/>
      <c r="T270" s="156"/>
      <c r="U270" s="156"/>
      <c r="V270" s="156"/>
      <c r="W270" s="1580" t="str">
        <f t="shared" si="9"/>
        <v/>
      </c>
      <c r="X270" s="155"/>
      <c r="Y270" s="156"/>
      <c r="Z270" s="233" t="str">
        <f t="shared" si="10"/>
        <v/>
      </c>
      <c r="AA270" s="1447">
        <f>VLOOKUP($C270,'3B.Demographic'!$C$15:$N$414,6,FALSE)</f>
        <v>0</v>
      </c>
      <c r="AB270" s="1447">
        <f>VLOOKUP($C270,'3B.Demographic'!$C$15:$N$414,7,FALSE)</f>
        <v>0</v>
      </c>
      <c r="AC270" s="1447">
        <f>VLOOKUP($C270,'3B.Demographic'!$C$15:$N$414,8,FALSE)</f>
        <v>0</v>
      </c>
      <c r="AD270" s="1447">
        <f>VLOOKUP($C270,'3B.Demographic'!$C$15:$N$414,9,FALSE)</f>
        <v>0</v>
      </c>
      <c r="AE270" s="1447">
        <f>VLOOKUP($C270,'3B.Demographic'!$C$15:$N$414,10,FALSE)</f>
        <v>0</v>
      </c>
      <c r="AF270" s="1475">
        <f>VLOOKUP($C270,'3B.Demographic'!$C$15:$N$414,11,FALSE)</f>
        <v>0</v>
      </c>
      <c r="AG270" s="1229">
        <f>VLOOKUP($C270,'3B.Demographic'!$C$15:$N$414,12,FALSE)</f>
        <v>0</v>
      </c>
    </row>
    <row r="271" spans="1:33" ht="20.100000000000001" customHeight="1">
      <c r="A271" s="217" t="str">
        <f>IF(D271&lt;&gt;"", ' 1A.Prop&amp;Residents'!$B$7, "")</f>
        <v/>
      </c>
      <c r="B271" s="217" t="str">
        <f t="shared" si="11"/>
        <v/>
      </c>
      <c r="C271" s="34">
        <v>257</v>
      </c>
      <c r="D271" s="153"/>
      <c r="E271" s="154"/>
      <c r="F271" s="1775"/>
      <c r="G271" s="155"/>
      <c r="H271" s="156"/>
      <c r="I271" s="154"/>
      <c r="J271" s="157"/>
      <c r="K271" s="156"/>
      <c r="L271" s="154"/>
      <c r="M271" s="609" t="str">
        <f>IF(L271="","",IF(E271="","",IF('1B.TransitionalProg'!$H$8&gt;0,"",VLOOKUP($E271,' 1A.Prop&amp;Residents'!$P$41:$R$47,2,FALSE))))</f>
        <v/>
      </c>
      <c r="N271" s="609" t="str">
        <f>IF(L271="","",IF(E271="","",IF('1B.TransitionalProg'!$H$8&gt;0,"",VLOOKUP($E271,' 1A.Prop&amp;Residents'!$P$41:$R$47,3,FALSE))))</f>
        <v/>
      </c>
      <c r="O271" s="610" t="str">
        <f>IF(L271="", "", IF(E271="", "", IF('1B.TransitionalProg'!$H$8&gt;0,"",IF(L271&lt;M271,"overHOUSED?",IF(L271&gt;N271, "OVERcrowded?","")))))</f>
        <v/>
      </c>
      <c r="P271" s="623"/>
      <c r="Q271" s="154"/>
      <c r="R271" s="154"/>
      <c r="S271" s="156"/>
      <c r="T271" s="156"/>
      <c r="U271" s="156"/>
      <c r="V271" s="156"/>
      <c r="W271" s="1580" t="str">
        <f t="shared" si="9"/>
        <v/>
      </c>
      <c r="X271" s="155"/>
      <c r="Y271" s="156"/>
      <c r="Z271" s="233" t="str">
        <f t="shared" si="10"/>
        <v/>
      </c>
      <c r="AA271" s="1447">
        <f>VLOOKUP($C271,'3B.Demographic'!$C$15:$N$414,6,FALSE)</f>
        <v>0</v>
      </c>
      <c r="AB271" s="1447">
        <f>VLOOKUP($C271,'3B.Demographic'!$C$15:$N$414,7,FALSE)</f>
        <v>0</v>
      </c>
      <c r="AC271" s="1447">
        <f>VLOOKUP($C271,'3B.Demographic'!$C$15:$N$414,8,FALSE)</f>
        <v>0</v>
      </c>
      <c r="AD271" s="1447">
        <f>VLOOKUP($C271,'3B.Demographic'!$C$15:$N$414,9,FALSE)</f>
        <v>0</v>
      </c>
      <c r="AE271" s="1447">
        <f>VLOOKUP($C271,'3B.Demographic'!$C$15:$N$414,10,FALSE)</f>
        <v>0</v>
      </c>
      <c r="AF271" s="1475">
        <f>VLOOKUP($C271,'3B.Demographic'!$C$15:$N$414,11,FALSE)</f>
        <v>0</v>
      </c>
      <c r="AG271" s="1229">
        <f>VLOOKUP($C271,'3B.Demographic'!$C$15:$N$414,12,FALSE)</f>
        <v>0</v>
      </c>
    </row>
    <row r="272" spans="1:33" ht="20.100000000000001" customHeight="1">
      <c r="A272" s="217" t="str">
        <f>IF(D272&lt;&gt;"", ' 1A.Prop&amp;Residents'!$B$7, "")</f>
        <v/>
      </c>
      <c r="B272" s="217" t="str">
        <f t="shared" si="11"/>
        <v/>
      </c>
      <c r="C272" s="34">
        <v>258</v>
      </c>
      <c r="D272" s="153"/>
      <c r="E272" s="154"/>
      <c r="F272" s="1775"/>
      <c r="G272" s="155"/>
      <c r="H272" s="156"/>
      <c r="I272" s="154"/>
      <c r="J272" s="157"/>
      <c r="K272" s="156"/>
      <c r="L272" s="154"/>
      <c r="M272" s="609" t="str">
        <f>IF(L272="","",IF(E272="","",IF('1B.TransitionalProg'!$H$8&gt;0,"",VLOOKUP($E272,' 1A.Prop&amp;Residents'!$P$41:$R$47,2,FALSE))))</f>
        <v/>
      </c>
      <c r="N272" s="609" t="str">
        <f>IF(L272="","",IF(E272="","",IF('1B.TransitionalProg'!$H$8&gt;0,"",VLOOKUP($E272,' 1A.Prop&amp;Residents'!$P$41:$R$47,3,FALSE))))</f>
        <v/>
      </c>
      <c r="O272" s="610" t="str">
        <f>IF(L272="", "", IF(E272="", "", IF('1B.TransitionalProg'!$H$8&gt;0,"",IF(L272&lt;M272,"overHOUSED?",IF(L272&gt;N272, "OVERcrowded?","")))))</f>
        <v/>
      </c>
      <c r="P272" s="623"/>
      <c r="Q272" s="154"/>
      <c r="R272" s="154"/>
      <c r="S272" s="156"/>
      <c r="T272" s="156"/>
      <c r="U272" s="156"/>
      <c r="V272" s="156"/>
      <c r="W272" s="1580" t="str">
        <f t="shared" ref="W272:W335" si="12">IF(U272&gt;0, IF(K272&gt;0, (U272+V272)*12/K272, ""),"")</f>
        <v/>
      </c>
      <c r="X272" s="155"/>
      <c r="Y272" s="156"/>
      <c r="Z272" s="233" t="str">
        <f t="shared" ref="Z272:Z335" si="13">IF(Y272="", "", IF(U272-Y272=0,"",IF(V272&gt;0,  Y272/(U272+V272-Y272),Y272/(U272-Y272))))</f>
        <v/>
      </c>
      <c r="AA272" s="1447">
        <f>VLOOKUP($C272,'3B.Demographic'!$C$15:$N$414,6,FALSE)</f>
        <v>0</v>
      </c>
      <c r="AB272" s="1447">
        <f>VLOOKUP($C272,'3B.Demographic'!$C$15:$N$414,7,FALSE)</f>
        <v>0</v>
      </c>
      <c r="AC272" s="1447">
        <f>VLOOKUP($C272,'3B.Demographic'!$C$15:$N$414,8,FALSE)</f>
        <v>0</v>
      </c>
      <c r="AD272" s="1447">
        <f>VLOOKUP($C272,'3B.Demographic'!$C$15:$N$414,9,FALSE)</f>
        <v>0</v>
      </c>
      <c r="AE272" s="1447">
        <f>VLOOKUP($C272,'3B.Demographic'!$C$15:$N$414,10,FALSE)</f>
        <v>0</v>
      </c>
      <c r="AF272" s="1475">
        <f>VLOOKUP($C272,'3B.Demographic'!$C$15:$N$414,11,FALSE)</f>
        <v>0</v>
      </c>
      <c r="AG272" s="1229">
        <f>VLOOKUP($C272,'3B.Demographic'!$C$15:$N$414,12,FALSE)</f>
        <v>0</v>
      </c>
    </row>
    <row r="273" spans="1:33" ht="20.100000000000001" customHeight="1">
      <c r="A273" s="217" t="str">
        <f>IF(D273&lt;&gt;"", ' 1A.Prop&amp;Residents'!$B$7, "")</f>
        <v/>
      </c>
      <c r="B273" s="217" t="str">
        <f t="shared" ref="B273:B336" si="14">IF(D273&lt;&gt;"", B$15, "")</f>
        <v/>
      </c>
      <c r="C273" s="34">
        <v>259</v>
      </c>
      <c r="D273" s="153"/>
      <c r="E273" s="154"/>
      <c r="F273" s="1775"/>
      <c r="G273" s="155"/>
      <c r="H273" s="156"/>
      <c r="I273" s="154"/>
      <c r="J273" s="157"/>
      <c r="K273" s="156"/>
      <c r="L273" s="154"/>
      <c r="M273" s="609" t="str">
        <f>IF(L273="","",IF(E273="","",IF('1B.TransitionalProg'!$H$8&gt;0,"",VLOOKUP($E273,' 1A.Prop&amp;Residents'!$P$41:$R$47,2,FALSE))))</f>
        <v/>
      </c>
      <c r="N273" s="609" t="str">
        <f>IF(L273="","",IF(E273="","",IF('1B.TransitionalProg'!$H$8&gt;0,"",VLOOKUP($E273,' 1A.Prop&amp;Residents'!$P$41:$R$47,3,FALSE))))</f>
        <v/>
      </c>
      <c r="O273" s="610" t="str">
        <f>IF(L273="", "", IF(E273="", "", IF('1B.TransitionalProg'!$H$8&gt;0,"",IF(L273&lt;M273,"overHOUSED?",IF(L273&gt;N273, "OVERcrowded?","")))))</f>
        <v/>
      </c>
      <c r="P273" s="623"/>
      <c r="Q273" s="154"/>
      <c r="R273" s="154"/>
      <c r="S273" s="156"/>
      <c r="T273" s="156"/>
      <c r="U273" s="156"/>
      <c r="V273" s="156"/>
      <c r="W273" s="1580" t="str">
        <f t="shared" si="12"/>
        <v/>
      </c>
      <c r="X273" s="155"/>
      <c r="Y273" s="156"/>
      <c r="Z273" s="233" t="str">
        <f t="shared" si="13"/>
        <v/>
      </c>
      <c r="AA273" s="1447">
        <f>VLOOKUP($C273,'3B.Demographic'!$C$15:$N$414,6,FALSE)</f>
        <v>0</v>
      </c>
      <c r="AB273" s="1447">
        <f>VLOOKUP($C273,'3B.Demographic'!$C$15:$N$414,7,FALSE)</f>
        <v>0</v>
      </c>
      <c r="AC273" s="1447">
        <f>VLOOKUP($C273,'3B.Demographic'!$C$15:$N$414,8,FALSE)</f>
        <v>0</v>
      </c>
      <c r="AD273" s="1447">
        <f>VLOOKUP($C273,'3B.Demographic'!$C$15:$N$414,9,FALSE)</f>
        <v>0</v>
      </c>
      <c r="AE273" s="1447">
        <f>VLOOKUP($C273,'3B.Demographic'!$C$15:$N$414,10,FALSE)</f>
        <v>0</v>
      </c>
      <c r="AF273" s="1475">
        <f>VLOOKUP($C273,'3B.Demographic'!$C$15:$N$414,11,FALSE)</f>
        <v>0</v>
      </c>
      <c r="AG273" s="1229">
        <f>VLOOKUP($C273,'3B.Demographic'!$C$15:$N$414,12,FALSE)</f>
        <v>0</v>
      </c>
    </row>
    <row r="274" spans="1:33" ht="20.100000000000001" customHeight="1">
      <c r="A274" s="217" t="str">
        <f>IF(D274&lt;&gt;"", ' 1A.Prop&amp;Residents'!$B$7, "")</f>
        <v/>
      </c>
      <c r="B274" s="217" t="str">
        <f t="shared" si="14"/>
        <v/>
      </c>
      <c r="C274" s="34">
        <v>260</v>
      </c>
      <c r="D274" s="153"/>
      <c r="E274" s="154"/>
      <c r="F274" s="1775"/>
      <c r="G274" s="155"/>
      <c r="H274" s="156"/>
      <c r="I274" s="154"/>
      <c r="J274" s="157"/>
      <c r="K274" s="156"/>
      <c r="L274" s="154"/>
      <c r="M274" s="609" t="str">
        <f>IF(L274="","",IF(E274="","",IF('1B.TransitionalProg'!$H$8&gt;0,"",VLOOKUP($E274,' 1A.Prop&amp;Residents'!$P$41:$R$47,2,FALSE))))</f>
        <v/>
      </c>
      <c r="N274" s="609" t="str">
        <f>IF(L274="","",IF(E274="","",IF('1B.TransitionalProg'!$H$8&gt;0,"",VLOOKUP($E274,' 1A.Prop&amp;Residents'!$P$41:$R$47,3,FALSE))))</f>
        <v/>
      </c>
      <c r="O274" s="610" t="str">
        <f>IF(L274="", "", IF(E274="", "", IF('1B.TransitionalProg'!$H$8&gt;0,"",IF(L274&lt;M274,"overHOUSED?",IF(L274&gt;N274, "OVERcrowded?","")))))</f>
        <v/>
      </c>
      <c r="P274" s="623"/>
      <c r="Q274" s="154"/>
      <c r="R274" s="154"/>
      <c r="S274" s="156"/>
      <c r="T274" s="156"/>
      <c r="U274" s="156"/>
      <c r="V274" s="156"/>
      <c r="W274" s="1580" t="str">
        <f t="shared" si="12"/>
        <v/>
      </c>
      <c r="X274" s="155"/>
      <c r="Y274" s="156"/>
      <c r="Z274" s="233" t="str">
        <f t="shared" si="13"/>
        <v/>
      </c>
      <c r="AA274" s="1447">
        <f>VLOOKUP($C274,'3B.Demographic'!$C$15:$N$414,6,FALSE)</f>
        <v>0</v>
      </c>
      <c r="AB274" s="1447">
        <f>VLOOKUP($C274,'3B.Demographic'!$C$15:$N$414,7,FALSE)</f>
        <v>0</v>
      </c>
      <c r="AC274" s="1447">
        <f>VLOOKUP($C274,'3B.Demographic'!$C$15:$N$414,8,FALSE)</f>
        <v>0</v>
      </c>
      <c r="AD274" s="1447">
        <f>VLOOKUP($C274,'3B.Demographic'!$C$15:$N$414,9,FALSE)</f>
        <v>0</v>
      </c>
      <c r="AE274" s="1447">
        <f>VLOOKUP($C274,'3B.Demographic'!$C$15:$N$414,10,FALSE)</f>
        <v>0</v>
      </c>
      <c r="AF274" s="1475">
        <f>VLOOKUP($C274,'3B.Demographic'!$C$15:$N$414,11,FALSE)</f>
        <v>0</v>
      </c>
      <c r="AG274" s="1229">
        <f>VLOOKUP($C274,'3B.Demographic'!$C$15:$N$414,12,FALSE)</f>
        <v>0</v>
      </c>
    </row>
    <row r="275" spans="1:33" ht="20.100000000000001" customHeight="1">
      <c r="A275" s="217" t="str">
        <f>IF(D275&lt;&gt;"", ' 1A.Prop&amp;Residents'!$B$7, "")</f>
        <v/>
      </c>
      <c r="B275" s="217" t="str">
        <f t="shared" si="14"/>
        <v/>
      </c>
      <c r="C275" s="34">
        <v>261</v>
      </c>
      <c r="D275" s="153"/>
      <c r="E275" s="154"/>
      <c r="F275" s="1775"/>
      <c r="G275" s="155"/>
      <c r="H275" s="156"/>
      <c r="I275" s="154"/>
      <c r="J275" s="157"/>
      <c r="K275" s="156"/>
      <c r="L275" s="154"/>
      <c r="M275" s="609" t="str">
        <f>IF(L275="","",IF(E275="","",IF('1B.TransitionalProg'!$H$8&gt;0,"",VLOOKUP($E275,' 1A.Prop&amp;Residents'!$P$41:$R$47,2,FALSE))))</f>
        <v/>
      </c>
      <c r="N275" s="609" t="str">
        <f>IF(L275="","",IF(E275="","",IF('1B.TransitionalProg'!$H$8&gt;0,"",VLOOKUP($E275,' 1A.Prop&amp;Residents'!$P$41:$R$47,3,FALSE))))</f>
        <v/>
      </c>
      <c r="O275" s="610" t="str">
        <f>IF(L275="", "", IF(E275="", "", IF('1B.TransitionalProg'!$H$8&gt;0,"",IF(L275&lt;M275,"overHOUSED?",IF(L275&gt;N275, "OVERcrowded?","")))))</f>
        <v/>
      </c>
      <c r="P275" s="623"/>
      <c r="Q275" s="154"/>
      <c r="R275" s="154"/>
      <c r="S275" s="156"/>
      <c r="T275" s="156"/>
      <c r="U275" s="156"/>
      <c r="V275" s="156"/>
      <c r="W275" s="1580" t="str">
        <f t="shared" si="12"/>
        <v/>
      </c>
      <c r="X275" s="155"/>
      <c r="Y275" s="156"/>
      <c r="Z275" s="233" t="str">
        <f t="shared" si="13"/>
        <v/>
      </c>
      <c r="AA275" s="1447">
        <f>VLOOKUP($C275,'3B.Demographic'!$C$15:$N$414,6,FALSE)</f>
        <v>0</v>
      </c>
      <c r="AB275" s="1447">
        <f>VLOOKUP($C275,'3B.Demographic'!$C$15:$N$414,7,FALSE)</f>
        <v>0</v>
      </c>
      <c r="AC275" s="1447">
        <f>VLOOKUP($C275,'3B.Demographic'!$C$15:$N$414,8,FALSE)</f>
        <v>0</v>
      </c>
      <c r="AD275" s="1447">
        <f>VLOOKUP($C275,'3B.Demographic'!$C$15:$N$414,9,FALSE)</f>
        <v>0</v>
      </c>
      <c r="AE275" s="1447">
        <f>VLOOKUP($C275,'3B.Demographic'!$C$15:$N$414,10,FALSE)</f>
        <v>0</v>
      </c>
      <c r="AF275" s="1475">
        <f>VLOOKUP($C275,'3B.Demographic'!$C$15:$N$414,11,FALSE)</f>
        <v>0</v>
      </c>
      <c r="AG275" s="1229">
        <f>VLOOKUP($C275,'3B.Demographic'!$C$15:$N$414,12,FALSE)</f>
        <v>0</v>
      </c>
    </row>
    <row r="276" spans="1:33" ht="20.100000000000001" customHeight="1">
      <c r="A276" s="217" t="str">
        <f>IF(D276&lt;&gt;"", ' 1A.Prop&amp;Residents'!$B$7, "")</f>
        <v/>
      </c>
      <c r="B276" s="217" t="str">
        <f t="shared" si="14"/>
        <v/>
      </c>
      <c r="C276" s="34">
        <v>262</v>
      </c>
      <c r="D276" s="153"/>
      <c r="E276" s="154"/>
      <c r="F276" s="1775"/>
      <c r="G276" s="155"/>
      <c r="H276" s="156"/>
      <c r="I276" s="154"/>
      <c r="J276" s="157"/>
      <c r="K276" s="156"/>
      <c r="L276" s="154"/>
      <c r="M276" s="609" t="str">
        <f>IF(L276="","",IF(E276="","",IF('1B.TransitionalProg'!$H$8&gt;0,"",VLOOKUP($E276,' 1A.Prop&amp;Residents'!$P$41:$R$47,2,FALSE))))</f>
        <v/>
      </c>
      <c r="N276" s="609" t="str">
        <f>IF(L276="","",IF(E276="","",IF('1B.TransitionalProg'!$H$8&gt;0,"",VLOOKUP($E276,' 1A.Prop&amp;Residents'!$P$41:$R$47,3,FALSE))))</f>
        <v/>
      </c>
      <c r="O276" s="610" t="str">
        <f>IF(L276="", "", IF(E276="", "", IF('1B.TransitionalProg'!$H$8&gt;0,"",IF(L276&lt;M276,"overHOUSED?",IF(L276&gt;N276, "OVERcrowded?","")))))</f>
        <v/>
      </c>
      <c r="P276" s="623"/>
      <c r="Q276" s="154"/>
      <c r="R276" s="154"/>
      <c r="S276" s="156"/>
      <c r="T276" s="156"/>
      <c r="U276" s="156"/>
      <c r="V276" s="156"/>
      <c r="W276" s="1580" t="str">
        <f t="shared" si="12"/>
        <v/>
      </c>
      <c r="X276" s="155"/>
      <c r="Y276" s="156"/>
      <c r="Z276" s="233" t="str">
        <f t="shared" si="13"/>
        <v/>
      </c>
      <c r="AA276" s="1447">
        <f>VLOOKUP($C276,'3B.Demographic'!$C$15:$N$414,6,FALSE)</f>
        <v>0</v>
      </c>
      <c r="AB276" s="1447">
        <f>VLOOKUP($C276,'3B.Demographic'!$C$15:$N$414,7,FALSE)</f>
        <v>0</v>
      </c>
      <c r="AC276" s="1447">
        <f>VLOOKUP($C276,'3B.Demographic'!$C$15:$N$414,8,FALSE)</f>
        <v>0</v>
      </c>
      <c r="AD276" s="1447">
        <f>VLOOKUP($C276,'3B.Demographic'!$C$15:$N$414,9,FALSE)</f>
        <v>0</v>
      </c>
      <c r="AE276" s="1447">
        <f>VLOOKUP($C276,'3B.Demographic'!$C$15:$N$414,10,FALSE)</f>
        <v>0</v>
      </c>
      <c r="AF276" s="1475">
        <f>VLOOKUP($C276,'3B.Demographic'!$C$15:$N$414,11,FALSE)</f>
        <v>0</v>
      </c>
      <c r="AG276" s="1229">
        <f>VLOOKUP($C276,'3B.Demographic'!$C$15:$N$414,12,FALSE)</f>
        <v>0</v>
      </c>
    </row>
    <row r="277" spans="1:33" ht="20.100000000000001" customHeight="1">
      <c r="A277" s="217" t="str">
        <f>IF(D277&lt;&gt;"", ' 1A.Prop&amp;Residents'!$B$7, "")</f>
        <v/>
      </c>
      <c r="B277" s="217" t="str">
        <f t="shared" si="14"/>
        <v/>
      </c>
      <c r="C277" s="34">
        <v>263</v>
      </c>
      <c r="D277" s="153"/>
      <c r="E277" s="154"/>
      <c r="F277" s="1775"/>
      <c r="G277" s="155"/>
      <c r="H277" s="156"/>
      <c r="I277" s="154"/>
      <c r="J277" s="157"/>
      <c r="K277" s="156"/>
      <c r="L277" s="154"/>
      <c r="M277" s="609" t="str">
        <f>IF(L277="","",IF(E277="","",IF('1B.TransitionalProg'!$H$8&gt;0,"",VLOOKUP($E277,' 1A.Prop&amp;Residents'!$P$41:$R$47,2,FALSE))))</f>
        <v/>
      </c>
      <c r="N277" s="609" t="str">
        <f>IF(L277="","",IF(E277="","",IF('1B.TransitionalProg'!$H$8&gt;0,"",VLOOKUP($E277,' 1A.Prop&amp;Residents'!$P$41:$R$47,3,FALSE))))</f>
        <v/>
      </c>
      <c r="O277" s="610" t="str">
        <f>IF(L277="", "", IF(E277="", "", IF('1B.TransitionalProg'!$H$8&gt;0,"",IF(L277&lt;M277,"overHOUSED?",IF(L277&gt;N277, "OVERcrowded?","")))))</f>
        <v/>
      </c>
      <c r="P277" s="623"/>
      <c r="Q277" s="154"/>
      <c r="R277" s="154"/>
      <c r="S277" s="156"/>
      <c r="T277" s="156"/>
      <c r="U277" s="156"/>
      <c r="V277" s="156"/>
      <c r="W277" s="1580" t="str">
        <f t="shared" si="12"/>
        <v/>
      </c>
      <c r="X277" s="155"/>
      <c r="Y277" s="156"/>
      <c r="Z277" s="233" t="str">
        <f t="shared" si="13"/>
        <v/>
      </c>
      <c r="AA277" s="1447">
        <f>VLOOKUP($C277,'3B.Demographic'!$C$15:$N$414,6,FALSE)</f>
        <v>0</v>
      </c>
      <c r="AB277" s="1447">
        <f>VLOOKUP($C277,'3B.Demographic'!$C$15:$N$414,7,FALSE)</f>
        <v>0</v>
      </c>
      <c r="AC277" s="1447">
        <f>VLOOKUP($C277,'3B.Demographic'!$C$15:$N$414,8,FALSE)</f>
        <v>0</v>
      </c>
      <c r="AD277" s="1447">
        <f>VLOOKUP($C277,'3B.Demographic'!$C$15:$N$414,9,FALSE)</f>
        <v>0</v>
      </c>
      <c r="AE277" s="1447">
        <f>VLOOKUP($C277,'3B.Demographic'!$C$15:$N$414,10,FALSE)</f>
        <v>0</v>
      </c>
      <c r="AF277" s="1475">
        <f>VLOOKUP($C277,'3B.Demographic'!$C$15:$N$414,11,FALSE)</f>
        <v>0</v>
      </c>
      <c r="AG277" s="1229">
        <f>VLOOKUP($C277,'3B.Demographic'!$C$15:$N$414,12,FALSE)</f>
        <v>0</v>
      </c>
    </row>
    <row r="278" spans="1:33" ht="20.100000000000001" customHeight="1">
      <c r="A278" s="217" t="str">
        <f>IF(D278&lt;&gt;"", ' 1A.Prop&amp;Residents'!$B$7, "")</f>
        <v/>
      </c>
      <c r="B278" s="217" t="str">
        <f t="shared" si="14"/>
        <v/>
      </c>
      <c r="C278" s="34">
        <v>264</v>
      </c>
      <c r="D278" s="153"/>
      <c r="E278" s="154"/>
      <c r="F278" s="1775"/>
      <c r="G278" s="155"/>
      <c r="H278" s="156"/>
      <c r="I278" s="154"/>
      <c r="J278" s="157"/>
      <c r="K278" s="156"/>
      <c r="L278" s="154"/>
      <c r="M278" s="609" t="str">
        <f>IF(L278="","",IF(E278="","",IF('1B.TransitionalProg'!$H$8&gt;0,"",VLOOKUP($E278,' 1A.Prop&amp;Residents'!$P$41:$R$47,2,FALSE))))</f>
        <v/>
      </c>
      <c r="N278" s="609" t="str">
        <f>IF(L278="","",IF(E278="","",IF('1B.TransitionalProg'!$H$8&gt;0,"",VLOOKUP($E278,' 1A.Prop&amp;Residents'!$P$41:$R$47,3,FALSE))))</f>
        <v/>
      </c>
      <c r="O278" s="610" t="str">
        <f>IF(L278="", "", IF(E278="", "", IF('1B.TransitionalProg'!$H$8&gt;0,"",IF(L278&lt;M278,"overHOUSED?",IF(L278&gt;N278, "OVERcrowded?","")))))</f>
        <v/>
      </c>
      <c r="P278" s="623"/>
      <c r="Q278" s="154"/>
      <c r="R278" s="154"/>
      <c r="S278" s="156"/>
      <c r="T278" s="156"/>
      <c r="U278" s="156"/>
      <c r="V278" s="156"/>
      <c r="W278" s="1580" t="str">
        <f t="shared" si="12"/>
        <v/>
      </c>
      <c r="X278" s="155"/>
      <c r="Y278" s="156"/>
      <c r="Z278" s="233" t="str">
        <f t="shared" si="13"/>
        <v/>
      </c>
      <c r="AA278" s="1447">
        <f>VLOOKUP($C278,'3B.Demographic'!$C$15:$N$414,6,FALSE)</f>
        <v>0</v>
      </c>
      <c r="AB278" s="1447">
        <f>VLOOKUP($C278,'3B.Demographic'!$C$15:$N$414,7,FALSE)</f>
        <v>0</v>
      </c>
      <c r="AC278" s="1447">
        <f>VLOOKUP($C278,'3B.Demographic'!$C$15:$N$414,8,FALSE)</f>
        <v>0</v>
      </c>
      <c r="AD278" s="1447">
        <f>VLOOKUP($C278,'3B.Demographic'!$C$15:$N$414,9,FALSE)</f>
        <v>0</v>
      </c>
      <c r="AE278" s="1447">
        <f>VLOOKUP($C278,'3B.Demographic'!$C$15:$N$414,10,FALSE)</f>
        <v>0</v>
      </c>
      <c r="AF278" s="1475">
        <f>VLOOKUP($C278,'3B.Demographic'!$C$15:$N$414,11,FALSE)</f>
        <v>0</v>
      </c>
      <c r="AG278" s="1229">
        <f>VLOOKUP($C278,'3B.Demographic'!$C$15:$N$414,12,FALSE)</f>
        <v>0</v>
      </c>
    </row>
    <row r="279" spans="1:33" ht="20.100000000000001" customHeight="1">
      <c r="A279" s="217" t="str">
        <f>IF(D279&lt;&gt;"", ' 1A.Prop&amp;Residents'!$B$7, "")</f>
        <v/>
      </c>
      <c r="B279" s="217" t="str">
        <f t="shared" si="14"/>
        <v/>
      </c>
      <c r="C279" s="34">
        <v>265</v>
      </c>
      <c r="D279" s="153"/>
      <c r="E279" s="154"/>
      <c r="F279" s="1775"/>
      <c r="G279" s="155"/>
      <c r="H279" s="156"/>
      <c r="I279" s="154"/>
      <c r="J279" s="157"/>
      <c r="K279" s="156"/>
      <c r="L279" s="154"/>
      <c r="M279" s="609" t="str">
        <f>IF(L279="","",IF(E279="","",IF('1B.TransitionalProg'!$H$8&gt;0,"",VLOOKUP($E279,' 1A.Prop&amp;Residents'!$P$41:$R$47,2,FALSE))))</f>
        <v/>
      </c>
      <c r="N279" s="609" t="str">
        <f>IF(L279="","",IF(E279="","",IF('1B.TransitionalProg'!$H$8&gt;0,"",VLOOKUP($E279,' 1A.Prop&amp;Residents'!$P$41:$R$47,3,FALSE))))</f>
        <v/>
      </c>
      <c r="O279" s="610" t="str">
        <f>IF(L279="", "", IF(E279="", "", IF('1B.TransitionalProg'!$H$8&gt;0,"",IF(L279&lt;M279,"overHOUSED?",IF(L279&gt;N279, "OVERcrowded?","")))))</f>
        <v/>
      </c>
      <c r="P279" s="623"/>
      <c r="Q279" s="154"/>
      <c r="R279" s="154"/>
      <c r="S279" s="156"/>
      <c r="T279" s="156"/>
      <c r="U279" s="156"/>
      <c r="V279" s="156"/>
      <c r="W279" s="1580" t="str">
        <f t="shared" si="12"/>
        <v/>
      </c>
      <c r="X279" s="155"/>
      <c r="Y279" s="156"/>
      <c r="Z279" s="233" t="str">
        <f t="shared" si="13"/>
        <v/>
      </c>
      <c r="AA279" s="1447">
        <f>VLOOKUP($C279,'3B.Demographic'!$C$15:$N$414,6,FALSE)</f>
        <v>0</v>
      </c>
      <c r="AB279" s="1447">
        <f>VLOOKUP($C279,'3B.Demographic'!$C$15:$N$414,7,FALSE)</f>
        <v>0</v>
      </c>
      <c r="AC279" s="1447">
        <f>VLOOKUP($C279,'3B.Demographic'!$C$15:$N$414,8,FALSE)</f>
        <v>0</v>
      </c>
      <c r="AD279" s="1447">
        <f>VLOOKUP($C279,'3B.Demographic'!$C$15:$N$414,9,FALSE)</f>
        <v>0</v>
      </c>
      <c r="AE279" s="1447">
        <f>VLOOKUP($C279,'3B.Demographic'!$C$15:$N$414,10,FALSE)</f>
        <v>0</v>
      </c>
      <c r="AF279" s="1475">
        <f>VLOOKUP($C279,'3B.Demographic'!$C$15:$N$414,11,FALSE)</f>
        <v>0</v>
      </c>
      <c r="AG279" s="1229">
        <f>VLOOKUP($C279,'3B.Demographic'!$C$15:$N$414,12,FALSE)</f>
        <v>0</v>
      </c>
    </row>
    <row r="280" spans="1:33" ht="20.100000000000001" customHeight="1">
      <c r="A280" s="217" t="str">
        <f>IF(D280&lt;&gt;"", ' 1A.Prop&amp;Residents'!$B$7, "")</f>
        <v/>
      </c>
      <c r="B280" s="217" t="str">
        <f t="shared" si="14"/>
        <v/>
      </c>
      <c r="C280" s="34">
        <v>266</v>
      </c>
      <c r="D280" s="153"/>
      <c r="E280" s="154"/>
      <c r="F280" s="1775"/>
      <c r="G280" s="155"/>
      <c r="H280" s="156"/>
      <c r="I280" s="154"/>
      <c r="J280" s="157"/>
      <c r="K280" s="156"/>
      <c r="L280" s="154"/>
      <c r="M280" s="609" t="str">
        <f>IF(L280="","",IF(E280="","",IF('1B.TransitionalProg'!$H$8&gt;0,"",VLOOKUP($E280,' 1A.Prop&amp;Residents'!$P$41:$R$47,2,FALSE))))</f>
        <v/>
      </c>
      <c r="N280" s="609" t="str">
        <f>IF(L280="","",IF(E280="","",IF('1B.TransitionalProg'!$H$8&gt;0,"",VLOOKUP($E280,' 1A.Prop&amp;Residents'!$P$41:$R$47,3,FALSE))))</f>
        <v/>
      </c>
      <c r="O280" s="610" t="str">
        <f>IF(L280="", "", IF(E280="", "", IF('1B.TransitionalProg'!$H$8&gt;0,"",IF(L280&lt;M280,"overHOUSED?",IF(L280&gt;N280, "OVERcrowded?","")))))</f>
        <v/>
      </c>
      <c r="P280" s="623"/>
      <c r="Q280" s="154"/>
      <c r="R280" s="154"/>
      <c r="S280" s="156"/>
      <c r="T280" s="156"/>
      <c r="U280" s="156"/>
      <c r="V280" s="156"/>
      <c r="W280" s="1580" t="str">
        <f t="shared" si="12"/>
        <v/>
      </c>
      <c r="X280" s="155"/>
      <c r="Y280" s="156"/>
      <c r="Z280" s="233" t="str">
        <f t="shared" si="13"/>
        <v/>
      </c>
      <c r="AA280" s="1447">
        <f>VLOOKUP($C280,'3B.Demographic'!$C$15:$N$414,6,FALSE)</f>
        <v>0</v>
      </c>
      <c r="AB280" s="1447">
        <f>VLOOKUP($C280,'3B.Demographic'!$C$15:$N$414,7,FALSE)</f>
        <v>0</v>
      </c>
      <c r="AC280" s="1447">
        <f>VLOOKUP($C280,'3B.Demographic'!$C$15:$N$414,8,FALSE)</f>
        <v>0</v>
      </c>
      <c r="AD280" s="1447">
        <f>VLOOKUP($C280,'3B.Demographic'!$C$15:$N$414,9,FALSE)</f>
        <v>0</v>
      </c>
      <c r="AE280" s="1447">
        <f>VLOOKUP($C280,'3B.Demographic'!$C$15:$N$414,10,FALSE)</f>
        <v>0</v>
      </c>
      <c r="AF280" s="1475">
        <f>VLOOKUP($C280,'3B.Demographic'!$C$15:$N$414,11,FALSE)</f>
        <v>0</v>
      </c>
      <c r="AG280" s="1229">
        <f>VLOOKUP($C280,'3B.Demographic'!$C$15:$N$414,12,FALSE)</f>
        <v>0</v>
      </c>
    </row>
    <row r="281" spans="1:33" ht="20.100000000000001" customHeight="1">
      <c r="A281" s="217" t="str">
        <f>IF(D281&lt;&gt;"", ' 1A.Prop&amp;Residents'!$B$7, "")</f>
        <v/>
      </c>
      <c r="B281" s="217" t="str">
        <f t="shared" si="14"/>
        <v/>
      </c>
      <c r="C281" s="34">
        <v>267</v>
      </c>
      <c r="D281" s="153"/>
      <c r="E281" s="154"/>
      <c r="F281" s="1775"/>
      <c r="G281" s="155"/>
      <c r="H281" s="156"/>
      <c r="I281" s="154"/>
      <c r="J281" s="157"/>
      <c r="K281" s="156"/>
      <c r="L281" s="154"/>
      <c r="M281" s="609" t="str">
        <f>IF(L281="","",IF(E281="","",IF('1B.TransitionalProg'!$H$8&gt;0,"",VLOOKUP($E281,' 1A.Prop&amp;Residents'!$P$41:$R$47,2,FALSE))))</f>
        <v/>
      </c>
      <c r="N281" s="609" t="str">
        <f>IF(L281="","",IF(E281="","",IF('1B.TransitionalProg'!$H$8&gt;0,"",VLOOKUP($E281,' 1A.Prop&amp;Residents'!$P$41:$R$47,3,FALSE))))</f>
        <v/>
      </c>
      <c r="O281" s="610" t="str">
        <f>IF(L281="", "", IF(E281="", "", IF('1B.TransitionalProg'!$H$8&gt;0,"",IF(L281&lt;M281,"overHOUSED?",IF(L281&gt;N281, "OVERcrowded?","")))))</f>
        <v/>
      </c>
      <c r="P281" s="623"/>
      <c r="Q281" s="154"/>
      <c r="R281" s="154"/>
      <c r="S281" s="156"/>
      <c r="T281" s="156"/>
      <c r="U281" s="156"/>
      <c r="V281" s="156"/>
      <c r="W281" s="1580" t="str">
        <f t="shared" si="12"/>
        <v/>
      </c>
      <c r="X281" s="155"/>
      <c r="Y281" s="156"/>
      <c r="Z281" s="233" t="str">
        <f t="shared" si="13"/>
        <v/>
      </c>
      <c r="AA281" s="1447">
        <f>VLOOKUP($C281,'3B.Demographic'!$C$15:$N$414,6,FALSE)</f>
        <v>0</v>
      </c>
      <c r="AB281" s="1447">
        <f>VLOOKUP($C281,'3B.Demographic'!$C$15:$N$414,7,FALSE)</f>
        <v>0</v>
      </c>
      <c r="AC281" s="1447">
        <f>VLOOKUP($C281,'3B.Demographic'!$C$15:$N$414,8,FALSE)</f>
        <v>0</v>
      </c>
      <c r="AD281" s="1447">
        <f>VLOOKUP($C281,'3B.Demographic'!$C$15:$N$414,9,FALSE)</f>
        <v>0</v>
      </c>
      <c r="AE281" s="1447">
        <f>VLOOKUP($C281,'3B.Demographic'!$C$15:$N$414,10,FALSE)</f>
        <v>0</v>
      </c>
      <c r="AF281" s="1475">
        <f>VLOOKUP($C281,'3B.Demographic'!$C$15:$N$414,11,FALSE)</f>
        <v>0</v>
      </c>
      <c r="AG281" s="1229">
        <f>VLOOKUP($C281,'3B.Demographic'!$C$15:$N$414,12,FALSE)</f>
        <v>0</v>
      </c>
    </row>
    <row r="282" spans="1:33" ht="20.100000000000001" customHeight="1">
      <c r="A282" s="217" t="str">
        <f>IF(D282&lt;&gt;"", ' 1A.Prop&amp;Residents'!$B$7, "")</f>
        <v/>
      </c>
      <c r="B282" s="217" t="str">
        <f t="shared" si="14"/>
        <v/>
      </c>
      <c r="C282" s="34">
        <v>268</v>
      </c>
      <c r="D282" s="153"/>
      <c r="E282" s="154"/>
      <c r="F282" s="1775"/>
      <c r="G282" s="155"/>
      <c r="H282" s="156"/>
      <c r="I282" s="154"/>
      <c r="J282" s="157"/>
      <c r="K282" s="156"/>
      <c r="L282" s="154"/>
      <c r="M282" s="609" t="str">
        <f>IF(L282="","",IF(E282="","",IF('1B.TransitionalProg'!$H$8&gt;0,"",VLOOKUP($E282,' 1A.Prop&amp;Residents'!$P$41:$R$47,2,FALSE))))</f>
        <v/>
      </c>
      <c r="N282" s="609" t="str">
        <f>IF(L282="","",IF(E282="","",IF('1B.TransitionalProg'!$H$8&gt;0,"",VLOOKUP($E282,' 1A.Prop&amp;Residents'!$P$41:$R$47,3,FALSE))))</f>
        <v/>
      </c>
      <c r="O282" s="610" t="str">
        <f>IF(L282="", "", IF(E282="", "", IF('1B.TransitionalProg'!$H$8&gt;0,"",IF(L282&lt;M282,"overHOUSED?",IF(L282&gt;N282, "OVERcrowded?","")))))</f>
        <v/>
      </c>
      <c r="P282" s="623"/>
      <c r="Q282" s="154"/>
      <c r="R282" s="154"/>
      <c r="S282" s="156"/>
      <c r="T282" s="156"/>
      <c r="U282" s="156"/>
      <c r="V282" s="156"/>
      <c r="W282" s="1580" t="str">
        <f t="shared" si="12"/>
        <v/>
      </c>
      <c r="X282" s="155"/>
      <c r="Y282" s="156"/>
      <c r="Z282" s="233" t="str">
        <f t="shared" si="13"/>
        <v/>
      </c>
      <c r="AA282" s="1447">
        <f>VLOOKUP($C282,'3B.Demographic'!$C$15:$N$414,6,FALSE)</f>
        <v>0</v>
      </c>
      <c r="AB282" s="1447">
        <f>VLOOKUP($C282,'3B.Demographic'!$C$15:$N$414,7,FALSE)</f>
        <v>0</v>
      </c>
      <c r="AC282" s="1447">
        <f>VLOOKUP($C282,'3B.Demographic'!$C$15:$N$414,8,FALSE)</f>
        <v>0</v>
      </c>
      <c r="AD282" s="1447">
        <f>VLOOKUP($C282,'3B.Demographic'!$C$15:$N$414,9,FALSE)</f>
        <v>0</v>
      </c>
      <c r="AE282" s="1447">
        <f>VLOOKUP($C282,'3B.Demographic'!$C$15:$N$414,10,FALSE)</f>
        <v>0</v>
      </c>
      <c r="AF282" s="1475">
        <f>VLOOKUP($C282,'3B.Demographic'!$C$15:$N$414,11,FALSE)</f>
        <v>0</v>
      </c>
      <c r="AG282" s="1229">
        <f>VLOOKUP($C282,'3B.Demographic'!$C$15:$N$414,12,FALSE)</f>
        <v>0</v>
      </c>
    </row>
    <row r="283" spans="1:33" ht="20.100000000000001" customHeight="1">
      <c r="A283" s="217" t="str">
        <f>IF(D283&lt;&gt;"", ' 1A.Prop&amp;Residents'!$B$7, "")</f>
        <v/>
      </c>
      <c r="B283" s="217" t="str">
        <f t="shared" si="14"/>
        <v/>
      </c>
      <c r="C283" s="34">
        <v>269</v>
      </c>
      <c r="D283" s="153"/>
      <c r="E283" s="154"/>
      <c r="F283" s="1775"/>
      <c r="G283" s="155"/>
      <c r="H283" s="156"/>
      <c r="I283" s="154"/>
      <c r="J283" s="157"/>
      <c r="K283" s="156"/>
      <c r="L283" s="154"/>
      <c r="M283" s="609" t="str">
        <f>IF(L283="","",IF(E283="","",IF('1B.TransitionalProg'!$H$8&gt;0,"",VLOOKUP($E283,' 1A.Prop&amp;Residents'!$P$41:$R$47,2,FALSE))))</f>
        <v/>
      </c>
      <c r="N283" s="609" t="str">
        <f>IF(L283="","",IF(E283="","",IF('1B.TransitionalProg'!$H$8&gt;0,"",VLOOKUP($E283,' 1A.Prop&amp;Residents'!$P$41:$R$47,3,FALSE))))</f>
        <v/>
      </c>
      <c r="O283" s="610" t="str">
        <f>IF(L283="", "", IF(E283="", "", IF('1B.TransitionalProg'!$H$8&gt;0,"",IF(L283&lt;M283,"overHOUSED?",IF(L283&gt;N283, "OVERcrowded?","")))))</f>
        <v/>
      </c>
      <c r="P283" s="623"/>
      <c r="Q283" s="154"/>
      <c r="R283" s="154"/>
      <c r="S283" s="156"/>
      <c r="T283" s="156"/>
      <c r="U283" s="156"/>
      <c r="V283" s="156"/>
      <c r="W283" s="1580" t="str">
        <f t="shared" si="12"/>
        <v/>
      </c>
      <c r="X283" s="155"/>
      <c r="Y283" s="156"/>
      <c r="Z283" s="233" t="str">
        <f t="shared" si="13"/>
        <v/>
      </c>
      <c r="AA283" s="1447">
        <f>VLOOKUP($C283,'3B.Demographic'!$C$15:$N$414,6,FALSE)</f>
        <v>0</v>
      </c>
      <c r="AB283" s="1447">
        <f>VLOOKUP($C283,'3B.Demographic'!$C$15:$N$414,7,FALSE)</f>
        <v>0</v>
      </c>
      <c r="AC283" s="1447">
        <f>VLOOKUP($C283,'3B.Demographic'!$C$15:$N$414,8,FALSE)</f>
        <v>0</v>
      </c>
      <c r="AD283" s="1447">
        <f>VLOOKUP($C283,'3B.Demographic'!$C$15:$N$414,9,FALSE)</f>
        <v>0</v>
      </c>
      <c r="AE283" s="1447">
        <f>VLOOKUP($C283,'3B.Demographic'!$C$15:$N$414,10,FALSE)</f>
        <v>0</v>
      </c>
      <c r="AF283" s="1475">
        <f>VLOOKUP($C283,'3B.Demographic'!$C$15:$N$414,11,FALSE)</f>
        <v>0</v>
      </c>
      <c r="AG283" s="1229">
        <f>VLOOKUP($C283,'3B.Demographic'!$C$15:$N$414,12,FALSE)</f>
        <v>0</v>
      </c>
    </row>
    <row r="284" spans="1:33" ht="20.100000000000001" customHeight="1">
      <c r="A284" s="217" t="str">
        <f>IF(D284&lt;&gt;"", ' 1A.Prop&amp;Residents'!$B$7, "")</f>
        <v/>
      </c>
      <c r="B284" s="217" t="str">
        <f t="shared" si="14"/>
        <v/>
      </c>
      <c r="C284" s="34">
        <v>270</v>
      </c>
      <c r="D284" s="153"/>
      <c r="E284" s="154"/>
      <c r="F284" s="1775"/>
      <c r="G284" s="155"/>
      <c r="H284" s="156"/>
      <c r="I284" s="154"/>
      <c r="J284" s="157"/>
      <c r="K284" s="156"/>
      <c r="L284" s="154"/>
      <c r="M284" s="609" t="str">
        <f>IF(L284="","",IF(E284="","",IF('1B.TransitionalProg'!$H$8&gt;0,"",VLOOKUP($E284,' 1A.Prop&amp;Residents'!$P$41:$R$47,2,FALSE))))</f>
        <v/>
      </c>
      <c r="N284" s="609" t="str">
        <f>IF(L284="","",IF(E284="","",IF('1B.TransitionalProg'!$H$8&gt;0,"",VLOOKUP($E284,' 1A.Prop&amp;Residents'!$P$41:$R$47,3,FALSE))))</f>
        <v/>
      </c>
      <c r="O284" s="610" t="str">
        <f>IF(L284="", "", IF(E284="", "", IF('1B.TransitionalProg'!$H$8&gt;0,"",IF(L284&lt;M284,"overHOUSED?",IF(L284&gt;N284, "OVERcrowded?","")))))</f>
        <v/>
      </c>
      <c r="P284" s="623"/>
      <c r="Q284" s="154"/>
      <c r="R284" s="154"/>
      <c r="S284" s="156"/>
      <c r="T284" s="156"/>
      <c r="U284" s="156"/>
      <c r="V284" s="156"/>
      <c r="W284" s="1580" t="str">
        <f t="shared" si="12"/>
        <v/>
      </c>
      <c r="X284" s="155"/>
      <c r="Y284" s="156"/>
      <c r="Z284" s="233" t="str">
        <f t="shared" si="13"/>
        <v/>
      </c>
      <c r="AA284" s="1447">
        <f>VLOOKUP($C284,'3B.Demographic'!$C$15:$N$414,6,FALSE)</f>
        <v>0</v>
      </c>
      <c r="AB284" s="1447">
        <f>VLOOKUP($C284,'3B.Demographic'!$C$15:$N$414,7,FALSE)</f>
        <v>0</v>
      </c>
      <c r="AC284" s="1447">
        <f>VLOOKUP($C284,'3B.Demographic'!$C$15:$N$414,8,FALSE)</f>
        <v>0</v>
      </c>
      <c r="AD284" s="1447">
        <f>VLOOKUP($C284,'3B.Demographic'!$C$15:$N$414,9,FALSE)</f>
        <v>0</v>
      </c>
      <c r="AE284" s="1447">
        <f>VLOOKUP($C284,'3B.Demographic'!$C$15:$N$414,10,FALSE)</f>
        <v>0</v>
      </c>
      <c r="AF284" s="1475">
        <f>VLOOKUP($C284,'3B.Demographic'!$C$15:$N$414,11,FALSE)</f>
        <v>0</v>
      </c>
      <c r="AG284" s="1229">
        <f>VLOOKUP($C284,'3B.Demographic'!$C$15:$N$414,12,FALSE)</f>
        <v>0</v>
      </c>
    </row>
    <row r="285" spans="1:33" ht="20.100000000000001" customHeight="1">
      <c r="A285" s="217" t="str">
        <f>IF(D285&lt;&gt;"", ' 1A.Prop&amp;Residents'!$B$7, "")</f>
        <v/>
      </c>
      <c r="B285" s="217" t="str">
        <f t="shared" si="14"/>
        <v/>
      </c>
      <c r="C285" s="34">
        <v>271</v>
      </c>
      <c r="D285" s="153"/>
      <c r="E285" s="154"/>
      <c r="F285" s="1775"/>
      <c r="G285" s="155"/>
      <c r="H285" s="156"/>
      <c r="I285" s="154"/>
      <c r="J285" s="157"/>
      <c r="K285" s="156"/>
      <c r="L285" s="154"/>
      <c r="M285" s="609" t="str">
        <f>IF(L285="","",IF(E285="","",IF('1B.TransitionalProg'!$H$8&gt;0,"",VLOOKUP($E285,' 1A.Prop&amp;Residents'!$P$41:$R$47,2,FALSE))))</f>
        <v/>
      </c>
      <c r="N285" s="609" t="str">
        <f>IF(L285="","",IF(E285="","",IF('1B.TransitionalProg'!$H$8&gt;0,"",VLOOKUP($E285,' 1A.Prop&amp;Residents'!$P$41:$R$47,3,FALSE))))</f>
        <v/>
      </c>
      <c r="O285" s="610" t="str">
        <f>IF(L285="", "", IF(E285="", "", IF('1B.TransitionalProg'!$H$8&gt;0,"",IF(L285&lt;M285,"overHOUSED?",IF(L285&gt;N285, "OVERcrowded?","")))))</f>
        <v/>
      </c>
      <c r="P285" s="623"/>
      <c r="Q285" s="154"/>
      <c r="R285" s="154"/>
      <c r="S285" s="156"/>
      <c r="T285" s="156"/>
      <c r="U285" s="156"/>
      <c r="V285" s="156"/>
      <c r="W285" s="1580" t="str">
        <f t="shared" si="12"/>
        <v/>
      </c>
      <c r="X285" s="155"/>
      <c r="Y285" s="156"/>
      <c r="Z285" s="233" t="str">
        <f t="shared" si="13"/>
        <v/>
      </c>
      <c r="AA285" s="1447">
        <f>VLOOKUP($C285,'3B.Demographic'!$C$15:$N$414,6,FALSE)</f>
        <v>0</v>
      </c>
      <c r="AB285" s="1447">
        <f>VLOOKUP($C285,'3B.Demographic'!$C$15:$N$414,7,FALSE)</f>
        <v>0</v>
      </c>
      <c r="AC285" s="1447">
        <f>VLOOKUP($C285,'3B.Demographic'!$C$15:$N$414,8,FALSE)</f>
        <v>0</v>
      </c>
      <c r="AD285" s="1447">
        <f>VLOOKUP($C285,'3B.Demographic'!$C$15:$N$414,9,FALSE)</f>
        <v>0</v>
      </c>
      <c r="AE285" s="1447">
        <f>VLOOKUP($C285,'3B.Demographic'!$C$15:$N$414,10,FALSE)</f>
        <v>0</v>
      </c>
      <c r="AF285" s="1475">
        <f>VLOOKUP($C285,'3B.Demographic'!$C$15:$N$414,11,FALSE)</f>
        <v>0</v>
      </c>
      <c r="AG285" s="1229">
        <f>VLOOKUP($C285,'3B.Demographic'!$C$15:$N$414,12,FALSE)</f>
        <v>0</v>
      </c>
    </row>
    <row r="286" spans="1:33" ht="20.100000000000001" customHeight="1">
      <c r="A286" s="217" t="str">
        <f>IF(D286&lt;&gt;"", ' 1A.Prop&amp;Residents'!$B$7, "")</f>
        <v/>
      </c>
      <c r="B286" s="217" t="str">
        <f t="shared" si="14"/>
        <v/>
      </c>
      <c r="C286" s="34">
        <v>272</v>
      </c>
      <c r="D286" s="153"/>
      <c r="E286" s="154"/>
      <c r="F286" s="1775"/>
      <c r="G286" s="155"/>
      <c r="H286" s="156"/>
      <c r="I286" s="154"/>
      <c r="J286" s="157"/>
      <c r="K286" s="156"/>
      <c r="L286" s="154"/>
      <c r="M286" s="609" t="str">
        <f>IF(L286="","",IF(E286="","",IF('1B.TransitionalProg'!$H$8&gt;0,"",VLOOKUP($E286,' 1A.Prop&amp;Residents'!$P$41:$R$47,2,FALSE))))</f>
        <v/>
      </c>
      <c r="N286" s="609" t="str">
        <f>IF(L286="","",IF(E286="","",IF('1B.TransitionalProg'!$H$8&gt;0,"",VLOOKUP($E286,' 1A.Prop&amp;Residents'!$P$41:$R$47,3,FALSE))))</f>
        <v/>
      </c>
      <c r="O286" s="610" t="str">
        <f>IF(L286="", "", IF(E286="", "", IF('1B.TransitionalProg'!$H$8&gt;0,"",IF(L286&lt;M286,"overHOUSED?",IF(L286&gt;N286, "OVERcrowded?","")))))</f>
        <v/>
      </c>
      <c r="P286" s="623"/>
      <c r="Q286" s="154"/>
      <c r="R286" s="154"/>
      <c r="S286" s="156"/>
      <c r="T286" s="156"/>
      <c r="U286" s="156"/>
      <c r="V286" s="156"/>
      <c r="W286" s="1580" t="str">
        <f t="shared" si="12"/>
        <v/>
      </c>
      <c r="X286" s="155"/>
      <c r="Y286" s="156"/>
      <c r="Z286" s="233" t="str">
        <f t="shared" si="13"/>
        <v/>
      </c>
      <c r="AA286" s="1447">
        <f>VLOOKUP($C286,'3B.Demographic'!$C$15:$N$414,6,FALSE)</f>
        <v>0</v>
      </c>
      <c r="AB286" s="1447">
        <f>VLOOKUP($C286,'3B.Demographic'!$C$15:$N$414,7,FALSE)</f>
        <v>0</v>
      </c>
      <c r="AC286" s="1447">
        <f>VLOOKUP($C286,'3B.Demographic'!$C$15:$N$414,8,FALSE)</f>
        <v>0</v>
      </c>
      <c r="AD286" s="1447">
        <f>VLOOKUP($C286,'3B.Demographic'!$C$15:$N$414,9,FALSE)</f>
        <v>0</v>
      </c>
      <c r="AE286" s="1447">
        <f>VLOOKUP($C286,'3B.Demographic'!$C$15:$N$414,10,FALSE)</f>
        <v>0</v>
      </c>
      <c r="AF286" s="1475">
        <f>VLOOKUP($C286,'3B.Demographic'!$C$15:$N$414,11,FALSE)</f>
        <v>0</v>
      </c>
      <c r="AG286" s="1229">
        <f>VLOOKUP($C286,'3B.Demographic'!$C$15:$N$414,12,FALSE)</f>
        <v>0</v>
      </c>
    </row>
    <row r="287" spans="1:33" ht="20.100000000000001" customHeight="1">
      <c r="A287" s="217" t="str">
        <f>IF(D287&lt;&gt;"", ' 1A.Prop&amp;Residents'!$B$7, "")</f>
        <v/>
      </c>
      <c r="B287" s="217" t="str">
        <f t="shared" si="14"/>
        <v/>
      </c>
      <c r="C287" s="34">
        <v>273</v>
      </c>
      <c r="D287" s="153"/>
      <c r="E287" s="154"/>
      <c r="F287" s="1775"/>
      <c r="G287" s="155"/>
      <c r="H287" s="156"/>
      <c r="I287" s="154"/>
      <c r="J287" s="157"/>
      <c r="K287" s="156"/>
      <c r="L287" s="154"/>
      <c r="M287" s="609" t="str">
        <f>IF(L287="","",IF(E287="","",IF('1B.TransitionalProg'!$H$8&gt;0,"",VLOOKUP($E287,' 1A.Prop&amp;Residents'!$P$41:$R$47,2,FALSE))))</f>
        <v/>
      </c>
      <c r="N287" s="609" t="str">
        <f>IF(L287="","",IF(E287="","",IF('1B.TransitionalProg'!$H$8&gt;0,"",VLOOKUP($E287,' 1A.Prop&amp;Residents'!$P$41:$R$47,3,FALSE))))</f>
        <v/>
      </c>
      <c r="O287" s="610" t="str">
        <f>IF(L287="", "", IF(E287="", "", IF('1B.TransitionalProg'!$H$8&gt;0,"",IF(L287&lt;M287,"overHOUSED?",IF(L287&gt;N287, "OVERcrowded?","")))))</f>
        <v/>
      </c>
      <c r="P287" s="623"/>
      <c r="Q287" s="154"/>
      <c r="R287" s="154"/>
      <c r="S287" s="156"/>
      <c r="T287" s="156"/>
      <c r="U287" s="156"/>
      <c r="V287" s="156"/>
      <c r="W287" s="1580" t="str">
        <f t="shared" si="12"/>
        <v/>
      </c>
      <c r="X287" s="155"/>
      <c r="Y287" s="156"/>
      <c r="Z287" s="233" t="str">
        <f t="shared" si="13"/>
        <v/>
      </c>
      <c r="AA287" s="1447">
        <f>VLOOKUP($C287,'3B.Demographic'!$C$15:$N$414,6,FALSE)</f>
        <v>0</v>
      </c>
      <c r="AB287" s="1447">
        <f>VLOOKUP($C287,'3B.Demographic'!$C$15:$N$414,7,FALSE)</f>
        <v>0</v>
      </c>
      <c r="AC287" s="1447">
        <f>VLOOKUP($C287,'3B.Demographic'!$C$15:$N$414,8,FALSE)</f>
        <v>0</v>
      </c>
      <c r="AD287" s="1447">
        <f>VLOOKUP($C287,'3B.Demographic'!$C$15:$N$414,9,FALSE)</f>
        <v>0</v>
      </c>
      <c r="AE287" s="1447">
        <f>VLOOKUP($C287,'3B.Demographic'!$C$15:$N$414,10,FALSE)</f>
        <v>0</v>
      </c>
      <c r="AF287" s="1475">
        <f>VLOOKUP($C287,'3B.Demographic'!$C$15:$N$414,11,FALSE)</f>
        <v>0</v>
      </c>
      <c r="AG287" s="1229">
        <f>VLOOKUP($C287,'3B.Demographic'!$C$15:$N$414,12,FALSE)</f>
        <v>0</v>
      </c>
    </row>
    <row r="288" spans="1:33" ht="20.100000000000001" customHeight="1">
      <c r="A288" s="217" t="str">
        <f>IF(D288&lt;&gt;"", ' 1A.Prop&amp;Residents'!$B$7, "")</f>
        <v/>
      </c>
      <c r="B288" s="217" t="str">
        <f t="shared" si="14"/>
        <v/>
      </c>
      <c r="C288" s="34">
        <v>274</v>
      </c>
      <c r="D288" s="153"/>
      <c r="E288" s="154"/>
      <c r="F288" s="1775"/>
      <c r="G288" s="155"/>
      <c r="H288" s="156"/>
      <c r="I288" s="154"/>
      <c r="J288" s="157"/>
      <c r="K288" s="156"/>
      <c r="L288" s="154"/>
      <c r="M288" s="609" t="str">
        <f>IF(L288="","",IF(E288="","",IF('1B.TransitionalProg'!$H$8&gt;0,"",VLOOKUP($E288,' 1A.Prop&amp;Residents'!$P$41:$R$47,2,FALSE))))</f>
        <v/>
      </c>
      <c r="N288" s="609" t="str">
        <f>IF(L288="","",IF(E288="","",IF('1B.TransitionalProg'!$H$8&gt;0,"",VLOOKUP($E288,' 1A.Prop&amp;Residents'!$P$41:$R$47,3,FALSE))))</f>
        <v/>
      </c>
      <c r="O288" s="610" t="str">
        <f>IF(L288="", "", IF(E288="", "", IF('1B.TransitionalProg'!$H$8&gt;0,"",IF(L288&lt;M288,"overHOUSED?",IF(L288&gt;N288, "OVERcrowded?","")))))</f>
        <v/>
      </c>
      <c r="P288" s="623"/>
      <c r="Q288" s="154"/>
      <c r="R288" s="154"/>
      <c r="S288" s="156"/>
      <c r="T288" s="156"/>
      <c r="U288" s="156"/>
      <c r="V288" s="156"/>
      <c r="W288" s="1580" t="str">
        <f t="shared" si="12"/>
        <v/>
      </c>
      <c r="X288" s="155"/>
      <c r="Y288" s="156"/>
      <c r="Z288" s="233" t="str">
        <f t="shared" si="13"/>
        <v/>
      </c>
      <c r="AA288" s="1447">
        <f>VLOOKUP($C288,'3B.Demographic'!$C$15:$N$414,6,FALSE)</f>
        <v>0</v>
      </c>
      <c r="AB288" s="1447">
        <f>VLOOKUP($C288,'3B.Demographic'!$C$15:$N$414,7,FALSE)</f>
        <v>0</v>
      </c>
      <c r="AC288" s="1447">
        <f>VLOOKUP($C288,'3B.Demographic'!$C$15:$N$414,8,FALSE)</f>
        <v>0</v>
      </c>
      <c r="AD288" s="1447">
        <f>VLOOKUP($C288,'3B.Demographic'!$C$15:$N$414,9,FALSE)</f>
        <v>0</v>
      </c>
      <c r="AE288" s="1447">
        <f>VLOOKUP($C288,'3B.Demographic'!$C$15:$N$414,10,FALSE)</f>
        <v>0</v>
      </c>
      <c r="AF288" s="1475">
        <f>VLOOKUP($C288,'3B.Demographic'!$C$15:$N$414,11,FALSE)</f>
        <v>0</v>
      </c>
      <c r="AG288" s="1229">
        <f>VLOOKUP($C288,'3B.Demographic'!$C$15:$N$414,12,FALSE)</f>
        <v>0</v>
      </c>
    </row>
    <row r="289" spans="1:33" ht="20.100000000000001" customHeight="1">
      <c r="A289" s="217" t="str">
        <f>IF(D289&lt;&gt;"", ' 1A.Prop&amp;Residents'!$B$7, "")</f>
        <v/>
      </c>
      <c r="B289" s="217" t="str">
        <f t="shared" si="14"/>
        <v/>
      </c>
      <c r="C289" s="34">
        <v>275</v>
      </c>
      <c r="D289" s="153"/>
      <c r="E289" s="154"/>
      <c r="F289" s="1775"/>
      <c r="G289" s="155"/>
      <c r="H289" s="156"/>
      <c r="I289" s="154"/>
      <c r="J289" s="157"/>
      <c r="K289" s="156"/>
      <c r="L289" s="154"/>
      <c r="M289" s="609" t="str">
        <f>IF(L289="","",IF(E289="","",IF('1B.TransitionalProg'!$H$8&gt;0,"",VLOOKUP($E289,' 1A.Prop&amp;Residents'!$P$41:$R$47,2,FALSE))))</f>
        <v/>
      </c>
      <c r="N289" s="609" t="str">
        <f>IF(L289="","",IF(E289="","",IF('1B.TransitionalProg'!$H$8&gt;0,"",VLOOKUP($E289,' 1A.Prop&amp;Residents'!$P$41:$R$47,3,FALSE))))</f>
        <v/>
      </c>
      <c r="O289" s="610" t="str">
        <f>IF(L289="", "", IF(E289="", "", IF('1B.TransitionalProg'!$H$8&gt;0,"",IF(L289&lt;M289,"overHOUSED?",IF(L289&gt;N289, "OVERcrowded?","")))))</f>
        <v/>
      </c>
      <c r="P289" s="623"/>
      <c r="Q289" s="154"/>
      <c r="R289" s="154"/>
      <c r="S289" s="156"/>
      <c r="T289" s="156"/>
      <c r="U289" s="156"/>
      <c r="V289" s="156"/>
      <c r="W289" s="1580" t="str">
        <f t="shared" si="12"/>
        <v/>
      </c>
      <c r="X289" s="155"/>
      <c r="Y289" s="156"/>
      <c r="Z289" s="233" t="str">
        <f t="shared" si="13"/>
        <v/>
      </c>
      <c r="AA289" s="1447">
        <f>VLOOKUP($C289,'3B.Demographic'!$C$15:$N$414,6,FALSE)</f>
        <v>0</v>
      </c>
      <c r="AB289" s="1447">
        <f>VLOOKUP($C289,'3B.Demographic'!$C$15:$N$414,7,FALSE)</f>
        <v>0</v>
      </c>
      <c r="AC289" s="1447">
        <f>VLOOKUP($C289,'3B.Demographic'!$C$15:$N$414,8,FALSE)</f>
        <v>0</v>
      </c>
      <c r="AD289" s="1447">
        <f>VLOOKUP($C289,'3B.Demographic'!$C$15:$N$414,9,FALSE)</f>
        <v>0</v>
      </c>
      <c r="AE289" s="1447">
        <f>VLOOKUP($C289,'3B.Demographic'!$C$15:$N$414,10,FALSE)</f>
        <v>0</v>
      </c>
      <c r="AF289" s="1475">
        <f>VLOOKUP($C289,'3B.Demographic'!$C$15:$N$414,11,FALSE)</f>
        <v>0</v>
      </c>
      <c r="AG289" s="1229">
        <f>VLOOKUP($C289,'3B.Demographic'!$C$15:$N$414,12,FALSE)</f>
        <v>0</v>
      </c>
    </row>
    <row r="290" spans="1:33" ht="20.100000000000001" customHeight="1">
      <c r="A290" s="217" t="str">
        <f>IF(D290&lt;&gt;"", ' 1A.Prop&amp;Residents'!$B$7, "")</f>
        <v/>
      </c>
      <c r="B290" s="217" t="str">
        <f t="shared" si="14"/>
        <v/>
      </c>
      <c r="C290" s="34">
        <v>276</v>
      </c>
      <c r="D290" s="153"/>
      <c r="E290" s="154"/>
      <c r="F290" s="1775"/>
      <c r="G290" s="155"/>
      <c r="H290" s="156"/>
      <c r="I290" s="154"/>
      <c r="J290" s="157"/>
      <c r="K290" s="156"/>
      <c r="L290" s="154"/>
      <c r="M290" s="609" t="str">
        <f>IF(L290="","",IF(E290="","",IF('1B.TransitionalProg'!$H$8&gt;0,"",VLOOKUP($E290,' 1A.Prop&amp;Residents'!$P$41:$R$47,2,FALSE))))</f>
        <v/>
      </c>
      <c r="N290" s="609" t="str">
        <f>IF(L290="","",IF(E290="","",IF('1B.TransitionalProg'!$H$8&gt;0,"",VLOOKUP($E290,' 1A.Prop&amp;Residents'!$P$41:$R$47,3,FALSE))))</f>
        <v/>
      </c>
      <c r="O290" s="610" t="str">
        <f>IF(L290="", "", IF(E290="", "", IF('1B.TransitionalProg'!$H$8&gt;0,"",IF(L290&lt;M290,"overHOUSED?",IF(L290&gt;N290, "OVERcrowded?","")))))</f>
        <v/>
      </c>
      <c r="P290" s="623"/>
      <c r="Q290" s="154"/>
      <c r="R290" s="154"/>
      <c r="S290" s="156"/>
      <c r="T290" s="156"/>
      <c r="U290" s="156"/>
      <c r="V290" s="156"/>
      <c r="W290" s="1580" t="str">
        <f t="shared" si="12"/>
        <v/>
      </c>
      <c r="X290" s="155"/>
      <c r="Y290" s="156"/>
      <c r="Z290" s="233" t="str">
        <f t="shared" si="13"/>
        <v/>
      </c>
      <c r="AA290" s="1447">
        <f>VLOOKUP($C290,'3B.Demographic'!$C$15:$N$414,6,FALSE)</f>
        <v>0</v>
      </c>
      <c r="AB290" s="1447">
        <f>VLOOKUP($C290,'3B.Demographic'!$C$15:$N$414,7,FALSE)</f>
        <v>0</v>
      </c>
      <c r="AC290" s="1447">
        <f>VLOOKUP($C290,'3B.Demographic'!$C$15:$N$414,8,FALSE)</f>
        <v>0</v>
      </c>
      <c r="AD290" s="1447">
        <f>VLOOKUP($C290,'3B.Demographic'!$C$15:$N$414,9,FALSE)</f>
        <v>0</v>
      </c>
      <c r="AE290" s="1447">
        <f>VLOOKUP($C290,'3B.Demographic'!$C$15:$N$414,10,FALSE)</f>
        <v>0</v>
      </c>
      <c r="AF290" s="1475">
        <f>VLOOKUP($C290,'3B.Demographic'!$C$15:$N$414,11,FALSE)</f>
        <v>0</v>
      </c>
      <c r="AG290" s="1229">
        <f>VLOOKUP($C290,'3B.Demographic'!$C$15:$N$414,12,FALSE)</f>
        <v>0</v>
      </c>
    </row>
    <row r="291" spans="1:33" ht="20.100000000000001" customHeight="1">
      <c r="A291" s="217" t="str">
        <f>IF(D291&lt;&gt;"", ' 1A.Prop&amp;Residents'!$B$7, "")</f>
        <v/>
      </c>
      <c r="B291" s="217" t="str">
        <f t="shared" si="14"/>
        <v/>
      </c>
      <c r="C291" s="34">
        <v>277</v>
      </c>
      <c r="D291" s="153"/>
      <c r="E291" s="154"/>
      <c r="F291" s="1775"/>
      <c r="G291" s="155"/>
      <c r="H291" s="156"/>
      <c r="I291" s="154"/>
      <c r="J291" s="157"/>
      <c r="K291" s="156"/>
      <c r="L291" s="154"/>
      <c r="M291" s="609" t="str">
        <f>IF(L291="","",IF(E291="","",IF('1B.TransitionalProg'!$H$8&gt;0,"",VLOOKUP($E291,' 1A.Prop&amp;Residents'!$P$41:$R$47,2,FALSE))))</f>
        <v/>
      </c>
      <c r="N291" s="609" t="str">
        <f>IF(L291="","",IF(E291="","",IF('1B.TransitionalProg'!$H$8&gt;0,"",VLOOKUP($E291,' 1A.Prop&amp;Residents'!$P$41:$R$47,3,FALSE))))</f>
        <v/>
      </c>
      <c r="O291" s="610" t="str">
        <f>IF(L291="", "", IF(E291="", "", IF('1B.TransitionalProg'!$H$8&gt;0,"",IF(L291&lt;M291,"overHOUSED?",IF(L291&gt;N291, "OVERcrowded?","")))))</f>
        <v/>
      </c>
      <c r="P291" s="623"/>
      <c r="Q291" s="154"/>
      <c r="R291" s="154"/>
      <c r="S291" s="156"/>
      <c r="T291" s="156"/>
      <c r="U291" s="156"/>
      <c r="V291" s="156"/>
      <c r="W291" s="1580" t="str">
        <f t="shared" si="12"/>
        <v/>
      </c>
      <c r="X291" s="155"/>
      <c r="Y291" s="156"/>
      <c r="Z291" s="233" t="str">
        <f t="shared" si="13"/>
        <v/>
      </c>
      <c r="AA291" s="1447">
        <f>VLOOKUP($C291,'3B.Demographic'!$C$15:$N$414,6,FALSE)</f>
        <v>0</v>
      </c>
      <c r="AB291" s="1447">
        <f>VLOOKUP($C291,'3B.Demographic'!$C$15:$N$414,7,FALSE)</f>
        <v>0</v>
      </c>
      <c r="AC291" s="1447">
        <f>VLOOKUP($C291,'3B.Demographic'!$C$15:$N$414,8,FALSE)</f>
        <v>0</v>
      </c>
      <c r="AD291" s="1447">
        <f>VLOOKUP($C291,'3B.Demographic'!$C$15:$N$414,9,FALSE)</f>
        <v>0</v>
      </c>
      <c r="AE291" s="1447">
        <f>VLOOKUP($C291,'3B.Demographic'!$C$15:$N$414,10,FALSE)</f>
        <v>0</v>
      </c>
      <c r="AF291" s="1475">
        <f>VLOOKUP($C291,'3B.Demographic'!$C$15:$N$414,11,FALSE)</f>
        <v>0</v>
      </c>
      <c r="AG291" s="1229">
        <f>VLOOKUP($C291,'3B.Demographic'!$C$15:$N$414,12,FALSE)</f>
        <v>0</v>
      </c>
    </row>
    <row r="292" spans="1:33" ht="20.100000000000001" customHeight="1">
      <c r="A292" s="217" t="str">
        <f>IF(D292&lt;&gt;"", ' 1A.Prop&amp;Residents'!$B$7, "")</f>
        <v/>
      </c>
      <c r="B292" s="217" t="str">
        <f t="shared" si="14"/>
        <v/>
      </c>
      <c r="C292" s="34">
        <v>278</v>
      </c>
      <c r="D292" s="153"/>
      <c r="E292" s="154"/>
      <c r="F292" s="1775"/>
      <c r="G292" s="155"/>
      <c r="H292" s="156"/>
      <c r="I292" s="154"/>
      <c r="J292" s="157"/>
      <c r="K292" s="156"/>
      <c r="L292" s="154"/>
      <c r="M292" s="609" t="str">
        <f>IF(L292="","",IF(E292="","",IF('1B.TransitionalProg'!$H$8&gt;0,"",VLOOKUP($E292,' 1A.Prop&amp;Residents'!$P$41:$R$47,2,FALSE))))</f>
        <v/>
      </c>
      <c r="N292" s="609" t="str">
        <f>IF(L292="","",IF(E292="","",IF('1B.TransitionalProg'!$H$8&gt;0,"",VLOOKUP($E292,' 1A.Prop&amp;Residents'!$P$41:$R$47,3,FALSE))))</f>
        <v/>
      </c>
      <c r="O292" s="610" t="str">
        <f>IF(L292="", "", IF(E292="", "", IF('1B.TransitionalProg'!$H$8&gt;0,"",IF(L292&lt;M292,"overHOUSED?",IF(L292&gt;N292, "OVERcrowded?","")))))</f>
        <v/>
      </c>
      <c r="P292" s="623"/>
      <c r="Q292" s="154"/>
      <c r="R292" s="154"/>
      <c r="S292" s="156"/>
      <c r="T292" s="156"/>
      <c r="U292" s="156"/>
      <c r="V292" s="156"/>
      <c r="W292" s="1580" t="str">
        <f t="shared" si="12"/>
        <v/>
      </c>
      <c r="X292" s="155"/>
      <c r="Y292" s="156"/>
      <c r="Z292" s="233" t="str">
        <f t="shared" si="13"/>
        <v/>
      </c>
      <c r="AA292" s="1447">
        <f>VLOOKUP($C292,'3B.Demographic'!$C$15:$N$414,6,FALSE)</f>
        <v>0</v>
      </c>
      <c r="AB292" s="1447">
        <f>VLOOKUP($C292,'3B.Demographic'!$C$15:$N$414,7,FALSE)</f>
        <v>0</v>
      </c>
      <c r="AC292" s="1447">
        <f>VLOOKUP($C292,'3B.Demographic'!$C$15:$N$414,8,FALSE)</f>
        <v>0</v>
      </c>
      <c r="AD292" s="1447">
        <f>VLOOKUP($C292,'3B.Demographic'!$C$15:$N$414,9,FALSE)</f>
        <v>0</v>
      </c>
      <c r="AE292" s="1447">
        <f>VLOOKUP($C292,'3B.Demographic'!$C$15:$N$414,10,FALSE)</f>
        <v>0</v>
      </c>
      <c r="AF292" s="1475">
        <f>VLOOKUP($C292,'3B.Demographic'!$C$15:$N$414,11,FALSE)</f>
        <v>0</v>
      </c>
      <c r="AG292" s="1229">
        <f>VLOOKUP($C292,'3B.Demographic'!$C$15:$N$414,12,FALSE)</f>
        <v>0</v>
      </c>
    </row>
    <row r="293" spans="1:33" ht="20.100000000000001" customHeight="1">
      <c r="A293" s="217" t="str">
        <f>IF(D293&lt;&gt;"", ' 1A.Prop&amp;Residents'!$B$7, "")</f>
        <v/>
      </c>
      <c r="B293" s="217" t="str">
        <f t="shared" si="14"/>
        <v/>
      </c>
      <c r="C293" s="34">
        <v>279</v>
      </c>
      <c r="D293" s="153"/>
      <c r="E293" s="154"/>
      <c r="F293" s="1775"/>
      <c r="G293" s="155"/>
      <c r="H293" s="156"/>
      <c r="I293" s="154"/>
      <c r="J293" s="157"/>
      <c r="K293" s="156"/>
      <c r="L293" s="154"/>
      <c r="M293" s="609" t="str">
        <f>IF(L293="","",IF(E293="","",IF('1B.TransitionalProg'!$H$8&gt;0,"",VLOOKUP($E293,' 1A.Prop&amp;Residents'!$P$41:$R$47,2,FALSE))))</f>
        <v/>
      </c>
      <c r="N293" s="609" t="str">
        <f>IF(L293="","",IF(E293="","",IF('1B.TransitionalProg'!$H$8&gt;0,"",VLOOKUP($E293,' 1A.Prop&amp;Residents'!$P$41:$R$47,3,FALSE))))</f>
        <v/>
      </c>
      <c r="O293" s="610" t="str">
        <f>IF(L293="", "", IF(E293="", "", IF('1B.TransitionalProg'!$H$8&gt;0,"",IF(L293&lt;M293,"overHOUSED?",IF(L293&gt;N293, "OVERcrowded?","")))))</f>
        <v/>
      </c>
      <c r="P293" s="623"/>
      <c r="Q293" s="154"/>
      <c r="R293" s="154"/>
      <c r="S293" s="156"/>
      <c r="T293" s="156"/>
      <c r="U293" s="156"/>
      <c r="V293" s="156"/>
      <c r="W293" s="1580" t="str">
        <f t="shared" si="12"/>
        <v/>
      </c>
      <c r="X293" s="155"/>
      <c r="Y293" s="156"/>
      <c r="Z293" s="233" t="str">
        <f t="shared" si="13"/>
        <v/>
      </c>
      <c r="AA293" s="1447">
        <f>VLOOKUP($C293,'3B.Demographic'!$C$15:$N$414,6,FALSE)</f>
        <v>0</v>
      </c>
      <c r="AB293" s="1447">
        <f>VLOOKUP($C293,'3B.Demographic'!$C$15:$N$414,7,FALSE)</f>
        <v>0</v>
      </c>
      <c r="AC293" s="1447">
        <f>VLOOKUP($C293,'3B.Demographic'!$C$15:$N$414,8,FALSE)</f>
        <v>0</v>
      </c>
      <c r="AD293" s="1447">
        <f>VLOOKUP($C293,'3B.Demographic'!$C$15:$N$414,9,FALSE)</f>
        <v>0</v>
      </c>
      <c r="AE293" s="1447">
        <f>VLOOKUP($C293,'3B.Demographic'!$C$15:$N$414,10,FALSE)</f>
        <v>0</v>
      </c>
      <c r="AF293" s="1475">
        <f>VLOOKUP($C293,'3B.Demographic'!$C$15:$N$414,11,FALSE)</f>
        <v>0</v>
      </c>
      <c r="AG293" s="1229">
        <f>VLOOKUP($C293,'3B.Demographic'!$C$15:$N$414,12,FALSE)</f>
        <v>0</v>
      </c>
    </row>
    <row r="294" spans="1:33" ht="20.100000000000001" customHeight="1">
      <c r="A294" s="217" t="str">
        <f>IF(D294&lt;&gt;"", ' 1A.Prop&amp;Residents'!$B$7, "")</f>
        <v/>
      </c>
      <c r="B294" s="217" t="str">
        <f t="shared" si="14"/>
        <v/>
      </c>
      <c r="C294" s="34">
        <v>280</v>
      </c>
      <c r="D294" s="153"/>
      <c r="E294" s="154"/>
      <c r="F294" s="1775"/>
      <c r="G294" s="155"/>
      <c r="H294" s="156"/>
      <c r="I294" s="154"/>
      <c r="J294" s="157"/>
      <c r="K294" s="156"/>
      <c r="L294" s="154"/>
      <c r="M294" s="609" t="str">
        <f>IF(L294="","",IF(E294="","",IF('1B.TransitionalProg'!$H$8&gt;0,"",VLOOKUP($E294,' 1A.Prop&amp;Residents'!$P$41:$R$47,2,FALSE))))</f>
        <v/>
      </c>
      <c r="N294" s="609" t="str">
        <f>IF(L294="","",IF(E294="","",IF('1B.TransitionalProg'!$H$8&gt;0,"",VLOOKUP($E294,' 1A.Prop&amp;Residents'!$P$41:$R$47,3,FALSE))))</f>
        <v/>
      </c>
      <c r="O294" s="610" t="str">
        <f>IF(L294="", "", IF(E294="", "", IF('1B.TransitionalProg'!$H$8&gt;0,"",IF(L294&lt;M294,"overHOUSED?",IF(L294&gt;N294, "OVERcrowded?","")))))</f>
        <v/>
      </c>
      <c r="P294" s="623"/>
      <c r="Q294" s="154"/>
      <c r="R294" s="154"/>
      <c r="S294" s="156"/>
      <c r="T294" s="156"/>
      <c r="U294" s="156"/>
      <c r="V294" s="156"/>
      <c r="W294" s="1580" t="str">
        <f t="shared" si="12"/>
        <v/>
      </c>
      <c r="X294" s="155"/>
      <c r="Y294" s="156"/>
      <c r="Z294" s="233" t="str">
        <f t="shared" si="13"/>
        <v/>
      </c>
      <c r="AA294" s="1447">
        <f>VLOOKUP($C294,'3B.Demographic'!$C$15:$N$414,6,FALSE)</f>
        <v>0</v>
      </c>
      <c r="AB294" s="1447">
        <f>VLOOKUP($C294,'3B.Demographic'!$C$15:$N$414,7,FALSE)</f>
        <v>0</v>
      </c>
      <c r="AC294" s="1447">
        <f>VLOOKUP($C294,'3B.Demographic'!$C$15:$N$414,8,FALSE)</f>
        <v>0</v>
      </c>
      <c r="AD294" s="1447">
        <f>VLOOKUP($C294,'3B.Demographic'!$C$15:$N$414,9,FALSE)</f>
        <v>0</v>
      </c>
      <c r="AE294" s="1447">
        <f>VLOOKUP($C294,'3B.Demographic'!$C$15:$N$414,10,FALSE)</f>
        <v>0</v>
      </c>
      <c r="AF294" s="1475">
        <f>VLOOKUP($C294,'3B.Demographic'!$C$15:$N$414,11,FALSE)</f>
        <v>0</v>
      </c>
      <c r="AG294" s="1229">
        <f>VLOOKUP($C294,'3B.Demographic'!$C$15:$N$414,12,FALSE)</f>
        <v>0</v>
      </c>
    </row>
    <row r="295" spans="1:33" ht="20.100000000000001" customHeight="1">
      <c r="A295" s="217" t="str">
        <f>IF(D295&lt;&gt;"", ' 1A.Prop&amp;Residents'!$B$7, "")</f>
        <v/>
      </c>
      <c r="B295" s="217" t="str">
        <f t="shared" si="14"/>
        <v/>
      </c>
      <c r="C295" s="34">
        <v>281</v>
      </c>
      <c r="D295" s="153"/>
      <c r="E295" s="154"/>
      <c r="F295" s="1775"/>
      <c r="G295" s="155"/>
      <c r="H295" s="156"/>
      <c r="I295" s="154"/>
      <c r="J295" s="157"/>
      <c r="K295" s="156"/>
      <c r="L295" s="154"/>
      <c r="M295" s="609" t="str">
        <f>IF(L295="","",IF(E295="","",IF('1B.TransitionalProg'!$H$8&gt;0,"",VLOOKUP($E295,' 1A.Prop&amp;Residents'!$P$41:$R$47,2,FALSE))))</f>
        <v/>
      </c>
      <c r="N295" s="609" t="str">
        <f>IF(L295="","",IF(E295="","",IF('1B.TransitionalProg'!$H$8&gt;0,"",VLOOKUP($E295,' 1A.Prop&amp;Residents'!$P$41:$R$47,3,FALSE))))</f>
        <v/>
      </c>
      <c r="O295" s="610" t="str">
        <f>IF(L295="", "", IF(E295="", "", IF('1B.TransitionalProg'!$H$8&gt;0,"",IF(L295&lt;M295,"overHOUSED?",IF(L295&gt;N295, "OVERcrowded?","")))))</f>
        <v/>
      </c>
      <c r="P295" s="623"/>
      <c r="Q295" s="154"/>
      <c r="R295" s="154"/>
      <c r="S295" s="156"/>
      <c r="T295" s="156"/>
      <c r="U295" s="156"/>
      <c r="V295" s="156"/>
      <c r="W295" s="1580" t="str">
        <f t="shared" si="12"/>
        <v/>
      </c>
      <c r="X295" s="155"/>
      <c r="Y295" s="156"/>
      <c r="Z295" s="233" t="str">
        <f t="shared" si="13"/>
        <v/>
      </c>
      <c r="AA295" s="1447">
        <f>VLOOKUP($C295,'3B.Demographic'!$C$15:$N$414,6,FALSE)</f>
        <v>0</v>
      </c>
      <c r="AB295" s="1447">
        <f>VLOOKUP($C295,'3B.Demographic'!$C$15:$N$414,7,FALSE)</f>
        <v>0</v>
      </c>
      <c r="AC295" s="1447">
        <f>VLOOKUP($C295,'3B.Demographic'!$C$15:$N$414,8,FALSE)</f>
        <v>0</v>
      </c>
      <c r="AD295" s="1447">
        <f>VLOOKUP($C295,'3B.Demographic'!$C$15:$N$414,9,FALSE)</f>
        <v>0</v>
      </c>
      <c r="AE295" s="1447">
        <f>VLOOKUP($C295,'3B.Demographic'!$C$15:$N$414,10,FALSE)</f>
        <v>0</v>
      </c>
      <c r="AF295" s="1475">
        <f>VLOOKUP($C295,'3B.Demographic'!$C$15:$N$414,11,FALSE)</f>
        <v>0</v>
      </c>
      <c r="AG295" s="1229">
        <f>VLOOKUP($C295,'3B.Demographic'!$C$15:$N$414,12,FALSE)</f>
        <v>0</v>
      </c>
    </row>
    <row r="296" spans="1:33" ht="20.100000000000001" customHeight="1">
      <c r="A296" s="217" t="str">
        <f>IF(D296&lt;&gt;"", ' 1A.Prop&amp;Residents'!$B$7, "")</f>
        <v/>
      </c>
      <c r="B296" s="217" t="str">
        <f t="shared" si="14"/>
        <v/>
      </c>
      <c r="C296" s="34">
        <v>282</v>
      </c>
      <c r="D296" s="153"/>
      <c r="E296" s="154"/>
      <c r="F296" s="1775"/>
      <c r="G296" s="155"/>
      <c r="H296" s="156"/>
      <c r="I296" s="154"/>
      <c r="J296" s="157"/>
      <c r="K296" s="156"/>
      <c r="L296" s="154"/>
      <c r="M296" s="609" t="str">
        <f>IF(L296="","",IF(E296="","",IF('1B.TransitionalProg'!$H$8&gt;0,"",VLOOKUP($E296,' 1A.Prop&amp;Residents'!$P$41:$R$47,2,FALSE))))</f>
        <v/>
      </c>
      <c r="N296" s="609" t="str">
        <f>IF(L296="","",IF(E296="","",IF('1B.TransitionalProg'!$H$8&gt;0,"",VLOOKUP($E296,' 1A.Prop&amp;Residents'!$P$41:$R$47,3,FALSE))))</f>
        <v/>
      </c>
      <c r="O296" s="610" t="str">
        <f>IF(L296="", "", IF(E296="", "", IF('1B.TransitionalProg'!$H$8&gt;0,"",IF(L296&lt;M296,"overHOUSED?",IF(L296&gt;N296, "OVERcrowded?","")))))</f>
        <v/>
      </c>
      <c r="P296" s="623"/>
      <c r="Q296" s="154"/>
      <c r="R296" s="154"/>
      <c r="S296" s="156"/>
      <c r="T296" s="156"/>
      <c r="U296" s="156"/>
      <c r="V296" s="156"/>
      <c r="W296" s="1580" t="str">
        <f t="shared" si="12"/>
        <v/>
      </c>
      <c r="X296" s="155"/>
      <c r="Y296" s="156"/>
      <c r="Z296" s="233" t="str">
        <f t="shared" si="13"/>
        <v/>
      </c>
      <c r="AA296" s="1447">
        <f>VLOOKUP($C296,'3B.Demographic'!$C$15:$N$414,6,FALSE)</f>
        <v>0</v>
      </c>
      <c r="AB296" s="1447">
        <f>VLOOKUP($C296,'3B.Demographic'!$C$15:$N$414,7,FALSE)</f>
        <v>0</v>
      </c>
      <c r="AC296" s="1447">
        <f>VLOOKUP($C296,'3B.Demographic'!$C$15:$N$414,8,FALSE)</f>
        <v>0</v>
      </c>
      <c r="AD296" s="1447">
        <f>VLOOKUP($C296,'3B.Demographic'!$C$15:$N$414,9,FALSE)</f>
        <v>0</v>
      </c>
      <c r="AE296" s="1447">
        <f>VLOOKUP($C296,'3B.Demographic'!$C$15:$N$414,10,FALSE)</f>
        <v>0</v>
      </c>
      <c r="AF296" s="1475">
        <f>VLOOKUP($C296,'3B.Demographic'!$C$15:$N$414,11,FALSE)</f>
        <v>0</v>
      </c>
      <c r="AG296" s="1229">
        <f>VLOOKUP($C296,'3B.Demographic'!$C$15:$N$414,12,FALSE)</f>
        <v>0</v>
      </c>
    </row>
    <row r="297" spans="1:33" ht="20.100000000000001" customHeight="1">
      <c r="A297" s="217" t="str">
        <f>IF(D297&lt;&gt;"", ' 1A.Prop&amp;Residents'!$B$7, "")</f>
        <v/>
      </c>
      <c r="B297" s="217" t="str">
        <f t="shared" si="14"/>
        <v/>
      </c>
      <c r="C297" s="34">
        <v>283</v>
      </c>
      <c r="D297" s="153"/>
      <c r="E297" s="154"/>
      <c r="F297" s="1775"/>
      <c r="G297" s="155"/>
      <c r="H297" s="156"/>
      <c r="I297" s="154"/>
      <c r="J297" s="157"/>
      <c r="K297" s="156"/>
      <c r="L297" s="154"/>
      <c r="M297" s="609" t="str">
        <f>IF(L297="","",IF(E297="","",IF('1B.TransitionalProg'!$H$8&gt;0,"",VLOOKUP($E297,' 1A.Prop&amp;Residents'!$P$41:$R$47,2,FALSE))))</f>
        <v/>
      </c>
      <c r="N297" s="609" t="str">
        <f>IF(L297="","",IF(E297="","",IF('1B.TransitionalProg'!$H$8&gt;0,"",VLOOKUP($E297,' 1A.Prop&amp;Residents'!$P$41:$R$47,3,FALSE))))</f>
        <v/>
      </c>
      <c r="O297" s="610" t="str">
        <f>IF(L297="", "", IF(E297="", "", IF('1B.TransitionalProg'!$H$8&gt;0,"",IF(L297&lt;M297,"overHOUSED?",IF(L297&gt;N297, "OVERcrowded?","")))))</f>
        <v/>
      </c>
      <c r="P297" s="623"/>
      <c r="Q297" s="154"/>
      <c r="R297" s="154"/>
      <c r="S297" s="156"/>
      <c r="T297" s="156"/>
      <c r="U297" s="156"/>
      <c r="V297" s="156"/>
      <c r="W297" s="1580" t="str">
        <f t="shared" si="12"/>
        <v/>
      </c>
      <c r="X297" s="155"/>
      <c r="Y297" s="156"/>
      <c r="Z297" s="233" t="str">
        <f t="shared" si="13"/>
        <v/>
      </c>
      <c r="AA297" s="1447">
        <f>VLOOKUP($C297,'3B.Demographic'!$C$15:$N$414,6,FALSE)</f>
        <v>0</v>
      </c>
      <c r="AB297" s="1447">
        <f>VLOOKUP($C297,'3B.Demographic'!$C$15:$N$414,7,FALSE)</f>
        <v>0</v>
      </c>
      <c r="AC297" s="1447">
        <f>VLOOKUP($C297,'3B.Demographic'!$C$15:$N$414,8,FALSE)</f>
        <v>0</v>
      </c>
      <c r="AD297" s="1447">
        <f>VLOOKUP($C297,'3B.Demographic'!$C$15:$N$414,9,FALSE)</f>
        <v>0</v>
      </c>
      <c r="AE297" s="1447">
        <f>VLOOKUP($C297,'3B.Demographic'!$C$15:$N$414,10,FALSE)</f>
        <v>0</v>
      </c>
      <c r="AF297" s="1475">
        <f>VLOOKUP($C297,'3B.Demographic'!$C$15:$N$414,11,FALSE)</f>
        <v>0</v>
      </c>
      <c r="AG297" s="1229">
        <f>VLOOKUP($C297,'3B.Demographic'!$C$15:$N$414,12,FALSE)</f>
        <v>0</v>
      </c>
    </row>
    <row r="298" spans="1:33" ht="20.100000000000001" customHeight="1">
      <c r="A298" s="217" t="str">
        <f>IF(D298&lt;&gt;"", ' 1A.Prop&amp;Residents'!$B$7, "")</f>
        <v/>
      </c>
      <c r="B298" s="217" t="str">
        <f t="shared" si="14"/>
        <v/>
      </c>
      <c r="C298" s="34">
        <v>284</v>
      </c>
      <c r="D298" s="153"/>
      <c r="E298" s="154"/>
      <c r="F298" s="1775"/>
      <c r="G298" s="155"/>
      <c r="H298" s="156"/>
      <c r="I298" s="154"/>
      <c r="J298" s="157"/>
      <c r="K298" s="156"/>
      <c r="L298" s="154"/>
      <c r="M298" s="609" t="str">
        <f>IF(L298="","",IF(E298="","",IF('1B.TransitionalProg'!$H$8&gt;0,"",VLOOKUP($E298,' 1A.Prop&amp;Residents'!$P$41:$R$47,2,FALSE))))</f>
        <v/>
      </c>
      <c r="N298" s="609" t="str">
        <f>IF(L298="","",IF(E298="","",IF('1B.TransitionalProg'!$H$8&gt;0,"",VLOOKUP($E298,' 1A.Prop&amp;Residents'!$P$41:$R$47,3,FALSE))))</f>
        <v/>
      </c>
      <c r="O298" s="610" t="str">
        <f>IF(L298="", "", IF(E298="", "", IF('1B.TransitionalProg'!$H$8&gt;0,"",IF(L298&lt;M298,"overHOUSED?",IF(L298&gt;N298, "OVERcrowded?","")))))</f>
        <v/>
      </c>
      <c r="P298" s="623"/>
      <c r="Q298" s="154"/>
      <c r="R298" s="154"/>
      <c r="S298" s="156"/>
      <c r="T298" s="156"/>
      <c r="U298" s="156"/>
      <c r="V298" s="156"/>
      <c r="W298" s="1580" t="str">
        <f t="shared" si="12"/>
        <v/>
      </c>
      <c r="X298" s="155"/>
      <c r="Y298" s="156"/>
      <c r="Z298" s="233" t="str">
        <f t="shared" si="13"/>
        <v/>
      </c>
      <c r="AA298" s="1447">
        <f>VLOOKUP($C298,'3B.Demographic'!$C$15:$N$414,6,FALSE)</f>
        <v>0</v>
      </c>
      <c r="AB298" s="1447">
        <f>VLOOKUP($C298,'3B.Demographic'!$C$15:$N$414,7,FALSE)</f>
        <v>0</v>
      </c>
      <c r="AC298" s="1447">
        <f>VLOOKUP($C298,'3B.Demographic'!$C$15:$N$414,8,FALSE)</f>
        <v>0</v>
      </c>
      <c r="AD298" s="1447">
        <f>VLOOKUP($C298,'3B.Demographic'!$C$15:$N$414,9,FALSE)</f>
        <v>0</v>
      </c>
      <c r="AE298" s="1447">
        <f>VLOOKUP($C298,'3B.Demographic'!$C$15:$N$414,10,FALSE)</f>
        <v>0</v>
      </c>
      <c r="AF298" s="1475">
        <f>VLOOKUP($C298,'3B.Demographic'!$C$15:$N$414,11,FALSE)</f>
        <v>0</v>
      </c>
      <c r="AG298" s="1229">
        <f>VLOOKUP($C298,'3B.Demographic'!$C$15:$N$414,12,FALSE)</f>
        <v>0</v>
      </c>
    </row>
    <row r="299" spans="1:33" ht="20.100000000000001" customHeight="1">
      <c r="A299" s="217" t="str">
        <f>IF(D299&lt;&gt;"", ' 1A.Prop&amp;Residents'!$B$7, "")</f>
        <v/>
      </c>
      <c r="B299" s="217" t="str">
        <f t="shared" si="14"/>
        <v/>
      </c>
      <c r="C299" s="34">
        <v>285</v>
      </c>
      <c r="D299" s="153"/>
      <c r="E299" s="154"/>
      <c r="F299" s="1775"/>
      <c r="G299" s="155"/>
      <c r="H299" s="156"/>
      <c r="I299" s="154"/>
      <c r="J299" s="157"/>
      <c r="K299" s="156"/>
      <c r="L299" s="154"/>
      <c r="M299" s="609" t="str">
        <f>IF(L299="","",IF(E299="","",IF('1B.TransitionalProg'!$H$8&gt;0,"",VLOOKUP($E299,' 1A.Prop&amp;Residents'!$P$41:$R$47,2,FALSE))))</f>
        <v/>
      </c>
      <c r="N299" s="609" t="str">
        <f>IF(L299="","",IF(E299="","",IF('1B.TransitionalProg'!$H$8&gt;0,"",VLOOKUP($E299,' 1A.Prop&amp;Residents'!$P$41:$R$47,3,FALSE))))</f>
        <v/>
      </c>
      <c r="O299" s="610" t="str">
        <f>IF(L299="", "", IF(E299="", "", IF('1B.TransitionalProg'!$H$8&gt;0,"",IF(L299&lt;M299,"overHOUSED?",IF(L299&gt;N299, "OVERcrowded?","")))))</f>
        <v/>
      </c>
      <c r="P299" s="623"/>
      <c r="Q299" s="154"/>
      <c r="R299" s="154"/>
      <c r="S299" s="156"/>
      <c r="T299" s="156"/>
      <c r="U299" s="156"/>
      <c r="V299" s="156"/>
      <c r="W299" s="1580" t="str">
        <f t="shared" si="12"/>
        <v/>
      </c>
      <c r="X299" s="155"/>
      <c r="Y299" s="156"/>
      <c r="Z299" s="233" t="str">
        <f t="shared" si="13"/>
        <v/>
      </c>
      <c r="AA299" s="1447">
        <f>VLOOKUP($C299,'3B.Demographic'!$C$15:$N$414,6,FALSE)</f>
        <v>0</v>
      </c>
      <c r="AB299" s="1447">
        <f>VLOOKUP($C299,'3B.Demographic'!$C$15:$N$414,7,FALSE)</f>
        <v>0</v>
      </c>
      <c r="AC299" s="1447">
        <f>VLOOKUP($C299,'3B.Demographic'!$C$15:$N$414,8,FALSE)</f>
        <v>0</v>
      </c>
      <c r="AD299" s="1447">
        <f>VLOOKUP($C299,'3B.Demographic'!$C$15:$N$414,9,FALSE)</f>
        <v>0</v>
      </c>
      <c r="AE299" s="1447">
        <f>VLOOKUP($C299,'3B.Demographic'!$C$15:$N$414,10,FALSE)</f>
        <v>0</v>
      </c>
      <c r="AF299" s="1475">
        <f>VLOOKUP($C299,'3B.Demographic'!$C$15:$N$414,11,FALSE)</f>
        <v>0</v>
      </c>
      <c r="AG299" s="1229">
        <f>VLOOKUP($C299,'3B.Demographic'!$C$15:$N$414,12,FALSE)</f>
        <v>0</v>
      </c>
    </row>
    <row r="300" spans="1:33" ht="20.100000000000001" customHeight="1">
      <c r="A300" s="217" t="str">
        <f>IF(D300&lt;&gt;"", ' 1A.Prop&amp;Residents'!$B$7, "")</f>
        <v/>
      </c>
      <c r="B300" s="217" t="str">
        <f t="shared" si="14"/>
        <v/>
      </c>
      <c r="C300" s="34">
        <v>286</v>
      </c>
      <c r="D300" s="153"/>
      <c r="E300" s="154"/>
      <c r="F300" s="1775"/>
      <c r="G300" s="155"/>
      <c r="H300" s="156"/>
      <c r="I300" s="154"/>
      <c r="J300" s="157"/>
      <c r="K300" s="156"/>
      <c r="L300" s="154"/>
      <c r="M300" s="609" t="str">
        <f>IF(L300="","",IF(E300="","",IF('1B.TransitionalProg'!$H$8&gt;0,"",VLOOKUP($E300,' 1A.Prop&amp;Residents'!$P$41:$R$47,2,FALSE))))</f>
        <v/>
      </c>
      <c r="N300" s="609" t="str">
        <f>IF(L300="","",IF(E300="","",IF('1B.TransitionalProg'!$H$8&gt;0,"",VLOOKUP($E300,' 1A.Prop&amp;Residents'!$P$41:$R$47,3,FALSE))))</f>
        <v/>
      </c>
      <c r="O300" s="610" t="str">
        <f>IF(L300="", "", IF(E300="", "", IF('1B.TransitionalProg'!$H$8&gt;0,"",IF(L300&lt;M300,"overHOUSED?",IF(L300&gt;N300, "OVERcrowded?","")))))</f>
        <v/>
      </c>
      <c r="P300" s="623"/>
      <c r="Q300" s="154"/>
      <c r="R300" s="154"/>
      <c r="S300" s="156"/>
      <c r="T300" s="156"/>
      <c r="U300" s="156"/>
      <c r="V300" s="156"/>
      <c r="W300" s="1580" t="str">
        <f t="shared" si="12"/>
        <v/>
      </c>
      <c r="X300" s="155"/>
      <c r="Y300" s="156"/>
      <c r="Z300" s="233" t="str">
        <f t="shared" si="13"/>
        <v/>
      </c>
      <c r="AA300" s="1447">
        <f>VLOOKUP($C300,'3B.Demographic'!$C$15:$N$414,6,FALSE)</f>
        <v>0</v>
      </c>
      <c r="AB300" s="1447">
        <f>VLOOKUP($C300,'3B.Demographic'!$C$15:$N$414,7,FALSE)</f>
        <v>0</v>
      </c>
      <c r="AC300" s="1447">
        <f>VLOOKUP($C300,'3B.Demographic'!$C$15:$N$414,8,FALSE)</f>
        <v>0</v>
      </c>
      <c r="AD300" s="1447">
        <f>VLOOKUP($C300,'3B.Demographic'!$C$15:$N$414,9,FALSE)</f>
        <v>0</v>
      </c>
      <c r="AE300" s="1447">
        <f>VLOOKUP($C300,'3B.Demographic'!$C$15:$N$414,10,FALSE)</f>
        <v>0</v>
      </c>
      <c r="AF300" s="1475">
        <f>VLOOKUP($C300,'3B.Demographic'!$C$15:$N$414,11,FALSE)</f>
        <v>0</v>
      </c>
      <c r="AG300" s="1229">
        <f>VLOOKUP($C300,'3B.Demographic'!$C$15:$N$414,12,FALSE)</f>
        <v>0</v>
      </c>
    </row>
    <row r="301" spans="1:33" ht="20.100000000000001" customHeight="1">
      <c r="A301" s="217" t="str">
        <f>IF(D301&lt;&gt;"", ' 1A.Prop&amp;Residents'!$B$7, "")</f>
        <v/>
      </c>
      <c r="B301" s="217" t="str">
        <f t="shared" si="14"/>
        <v/>
      </c>
      <c r="C301" s="34">
        <v>287</v>
      </c>
      <c r="D301" s="153"/>
      <c r="E301" s="154"/>
      <c r="F301" s="1775"/>
      <c r="G301" s="155"/>
      <c r="H301" s="156"/>
      <c r="I301" s="154"/>
      <c r="J301" s="157"/>
      <c r="K301" s="156"/>
      <c r="L301" s="154"/>
      <c r="M301" s="609" t="str">
        <f>IF(L301="","",IF(E301="","",IF('1B.TransitionalProg'!$H$8&gt;0,"",VLOOKUP($E301,' 1A.Prop&amp;Residents'!$P$41:$R$47,2,FALSE))))</f>
        <v/>
      </c>
      <c r="N301" s="609" t="str">
        <f>IF(L301="","",IF(E301="","",IF('1B.TransitionalProg'!$H$8&gt;0,"",VLOOKUP($E301,' 1A.Prop&amp;Residents'!$P$41:$R$47,3,FALSE))))</f>
        <v/>
      </c>
      <c r="O301" s="610" t="str">
        <f>IF(L301="", "", IF(E301="", "", IF('1B.TransitionalProg'!$H$8&gt;0,"",IF(L301&lt;M301,"overHOUSED?",IF(L301&gt;N301, "OVERcrowded?","")))))</f>
        <v/>
      </c>
      <c r="P301" s="623"/>
      <c r="Q301" s="154"/>
      <c r="R301" s="154"/>
      <c r="S301" s="156"/>
      <c r="T301" s="156"/>
      <c r="U301" s="156"/>
      <c r="V301" s="156"/>
      <c r="W301" s="1580" t="str">
        <f t="shared" si="12"/>
        <v/>
      </c>
      <c r="X301" s="155"/>
      <c r="Y301" s="156"/>
      <c r="Z301" s="233" t="str">
        <f t="shared" si="13"/>
        <v/>
      </c>
      <c r="AA301" s="1447">
        <f>VLOOKUP($C301,'3B.Demographic'!$C$15:$N$414,6,FALSE)</f>
        <v>0</v>
      </c>
      <c r="AB301" s="1447">
        <f>VLOOKUP($C301,'3B.Demographic'!$C$15:$N$414,7,FALSE)</f>
        <v>0</v>
      </c>
      <c r="AC301" s="1447">
        <f>VLOOKUP($C301,'3B.Demographic'!$C$15:$N$414,8,FALSE)</f>
        <v>0</v>
      </c>
      <c r="AD301" s="1447">
        <f>VLOOKUP($C301,'3B.Demographic'!$C$15:$N$414,9,FALSE)</f>
        <v>0</v>
      </c>
      <c r="AE301" s="1447">
        <f>VLOOKUP($C301,'3B.Demographic'!$C$15:$N$414,10,FALSE)</f>
        <v>0</v>
      </c>
      <c r="AF301" s="1475">
        <f>VLOOKUP($C301,'3B.Demographic'!$C$15:$N$414,11,FALSE)</f>
        <v>0</v>
      </c>
      <c r="AG301" s="1229">
        <f>VLOOKUP($C301,'3B.Demographic'!$C$15:$N$414,12,FALSE)</f>
        <v>0</v>
      </c>
    </row>
    <row r="302" spans="1:33" ht="20.100000000000001" customHeight="1">
      <c r="A302" s="217" t="str">
        <f>IF(D302&lt;&gt;"", ' 1A.Prop&amp;Residents'!$B$7, "")</f>
        <v/>
      </c>
      <c r="B302" s="217" t="str">
        <f t="shared" si="14"/>
        <v/>
      </c>
      <c r="C302" s="34">
        <v>288</v>
      </c>
      <c r="D302" s="153"/>
      <c r="E302" s="154"/>
      <c r="F302" s="1775"/>
      <c r="G302" s="155"/>
      <c r="H302" s="156"/>
      <c r="I302" s="154"/>
      <c r="J302" s="157"/>
      <c r="K302" s="156"/>
      <c r="L302" s="154"/>
      <c r="M302" s="609" t="str">
        <f>IF(L302="","",IF(E302="","",IF('1B.TransitionalProg'!$H$8&gt;0,"",VLOOKUP($E302,' 1A.Prop&amp;Residents'!$P$41:$R$47,2,FALSE))))</f>
        <v/>
      </c>
      <c r="N302" s="609" t="str">
        <f>IF(L302="","",IF(E302="","",IF('1B.TransitionalProg'!$H$8&gt;0,"",VLOOKUP($E302,' 1A.Prop&amp;Residents'!$P$41:$R$47,3,FALSE))))</f>
        <v/>
      </c>
      <c r="O302" s="610" t="str">
        <f>IF(L302="", "", IF(E302="", "", IF('1B.TransitionalProg'!$H$8&gt;0,"",IF(L302&lt;M302,"overHOUSED?",IF(L302&gt;N302, "OVERcrowded?","")))))</f>
        <v/>
      </c>
      <c r="P302" s="623"/>
      <c r="Q302" s="154"/>
      <c r="R302" s="154"/>
      <c r="S302" s="156"/>
      <c r="T302" s="156"/>
      <c r="U302" s="156"/>
      <c r="V302" s="156"/>
      <c r="W302" s="1580" t="str">
        <f t="shared" si="12"/>
        <v/>
      </c>
      <c r="X302" s="155"/>
      <c r="Y302" s="156"/>
      <c r="Z302" s="233" t="str">
        <f t="shared" si="13"/>
        <v/>
      </c>
      <c r="AA302" s="1447">
        <f>VLOOKUP($C302,'3B.Demographic'!$C$15:$N$414,6,FALSE)</f>
        <v>0</v>
      </c>
      <c r="AB302" s="1447">
        <f>VLOOKUP($C302,'3B.Demographic'!$C$15:$N$414,7,FALSE)</f>
        <v>0</v>
      </c>
      <c r="AC302" s="1447">
        <f>VLOOKUP($C302,'3B.Demographic'!$C$15:$N$414,8,FALSE)</f>
        <v>0</v>
      </c>
      <c r="AD302" s="1447">
        <f>VLOOKUP($C302,'3B.Demographic'!$C$15:$N$414,9,FALSE)</f>
        <v>0</v>
      </c>
      <c r="AE302" s="1447">
        <f>VLOOKUP($C302,'3B.Demographic'!$C$15:$N$414,10,FALSE)</f>
        <v>0</v>
      </c>
      <c r="AF302" s="1475">
        <f>VLOOKUP($C302,'3B.Demographic'!$C$15:$N$414,11,FALSE)</f>
        <v>0</v>
      </c>
      <c r="AG302" s="1229">
        <f>VLOOKUP($C302,'3B.Demographic'!$C$15:$N$414,12,FALSE)</f>
        <v>0</v>
      </c>
    </row>
    <row r="303" spans="1:33" ht="20.100000000000001" customHeight="1">
      <c r="A303" s="217" t="str">
        <f>IF(D303&lt;&gt;"", ' 1A.Prop&amp;Residents'!$B$7, "")</f>
        <v/>
      </c>
      <c r="B303" s="217" t="str">
        <f t="shared" si="14"/>
        <v/>
      </c>
      <c r="C303" s="34">
        <v>289</v>
      </c>
      <c r="D303" s="153"/>
      <c r="E303" s="154"/>
      <c r="F303" s="1775"/>
      <c r="G303" s="155"/>
      <c r="H303" s="156"/>
      <c r="I303" s="154"/>
      <c r="J303" s="157"/>
      <c r="K303" s="156"/>
      <c r="L303" s="154"/>
      <c r="M303" s="609" t="str">
        <f>IF(L303="","",IF(E303="","",IF('1B.TransitionalProg'!$H$8&gt;0,"",VLOOKUP($E303,' 1A.Prop&amp;Residents'!$P$41:$R$47,2,FALSE))))</f>
        <v/>
      </c>
      <c r="N303" s="609" t="str">
        <f>IF(L303="","",IF(E303="","",IF('1B.TransitionalProg'!$H$8&gt;0,"",VLOOKUP($E303,' 1A.Prop&amp;Residents'!$P$41:$R$47,3,FALSE))))</f>
        <v/>
      </c>
      <c r="O303" s="610" t="str">
        <f>IF(L303="", "", IF(E303="", "", IF('1B.TransitionalProg'!$H$8&gt;0,"",IF(L303&lt;M303,"overHOUSED?",IF(L303&gt;N303, "OVERcrowded?","")))))</f>
        <v/>
      </c>
      <c r="P303" s="623"/>
      <c r="Q303" s="154"/>
      <c r="R303" s="154"/>
      <c r="S303" s="156"/>
      <c r="T303" s="156"/>
      <c r="U303" s="156"/>
      <c r="V303" s="156"/>
      <c r="W303" s="1580" t="str">
        <f t="shared" si="12"/>
        <v/>
      </c>
      <c r="X303" s="155"/>
      <c r="Y303" s="156"/>
      <c r="Z303" s="233" t="str">
        <f t="shared" si="13"/>
        <v/>
      </c>
      <c r="AA303" s="1447">
        <f>VLOOKUP($C303,'3B.Demographic'!$C$15:$N$414,6,FALSE)</f>
        <v>0</v>
      </c>
      <c r="AB303" s="1447">
        <f>VLOOKUP($C303,'3B.Demographic'!$C$15:$N$414,7,FALSE)</f>
        <v>0</v>
      </c>
      <c r="AC303" s="1447">
        <f>VLOOKUP($C303,'3B.Demographic'!$C$15:$N$414,8,FALSE)</f>
        <v>0</v>
      </c>
      <c r="AD303" s="1447">
        <f>VLOOKUP($C303,'3B.Demographic'!$C$15:$N$414,9,FALSE)</f>
        <v>0</v>
      </c>
      <c r="AE303" s="1447">
        <f>VLOOKUP($C303,'3B.Demographic'!$C$15:$N$414,10,FALSE)</f>
        <v>0</v>
      </c>
      <c r="AF303" s="1475">
        <f>VLOOKUP($C303,'3B.Demographic'!$C$15:$N$414,11,FALSE)</f>
        <v>0</v>
      </c>
      <c r="AG303" s="1229">
        <f>VLOOKUP($C303,'3B.Demographic'!$C$15:$N$414,12,FALSE)</f>
        <v>0</v>
      </c>
    </row>
    <row r="304" spans="1:33" ht="20.100000000000001" customHeight="1">
      <c r="A304" s="217" t="str">
        <f>IF(D304&lt;&gt;"", ' 1A.Prop&amp;Residents'!$B$7, "")</f>
        <v/>
      </c>
      <c r="B304" s="217" t="str">
        <f t="shared" si="14"/>
        <v/>
      </c>
      <c r="C304" s="34">
        <v>290</v>
      </c>
      <c r="D304" s="153"/>
      <c r="E304" s="154"/>
      <c r="F304" s="1775"/>
      <c r="G304" s="155"/>
      <c r="H304" s="156"/>
      <c r="I304" s="154"/>
      <c r="J304" s="157"/>
      <c r="K304" s="156"/>
      <c r="L304" s="154"/>
      <c r="M304" s="609" t="str">
        <f>IF(L304="","",IF(E304="","",IF('1B.TransitionalProg'!$H$8&gt;0,"",VLOOKUP($E304,' 1A.Prop&amp;Residents'!$P$41:$R$47,2,FALSE))))</f>
        <v/>
      </c>
      <c r="N304" s="609" t="str">
        <f>IF(L304="","",IF(E304="","",IF('1B.TransitionalProg'!$H$8&gt;0,"",VLOOKUP($E304,' 1A.Prop&amp;Residents'!$P$41:$R$47,3,FALSE))))</f>
        <v/>
      </c>
      <c r="O304" s="610" t="str">
        <f>IF(L304="", "", IF(E304="", "", IF('1B.TransitionalProg'!$H$8&gt;0,"",IF(L304&lt;M304,"overHOUSED?",IF(L304&gt;N304, "OVERcrowded?","")))))</f>
        <v/>
      </c>
      <c r="P304" s="623"/>
      <c r="Q304" s="154"/>
      <c r="R304" s="154"/>
      <c r="S304" s="156"/>
      <c r="T304" s="156"/>
      <c r="U304" s="156"/>
      <c r="V304" s="156"/>
      <c r="W304" s="1580" t="str">
        <f t="shared" si="12"/>
        <v/>
      </c>
      <c r="X304" s="155"/>
      <c r="Y304" s="156"/>
      <c r="Z304" s="233" t="str">
        <f t="shared" si="13"/>
        <v/>
      </c>
      <c r="AA304" s="1447">
        <f>VLOOKUP($C304,'3B.Demographic'!$C$15:$N$414,6,FALSE)</f>
        <v>0</v>
      </c>
      <c r="AB304" s="1447">
        <f>VLOOKUP($C304,'3B.Demographic'!$C$15:$N$414,7,FALSE)</f>
        <v>0</v>
      </c>
      <c r="AC304" s="1447">
        <f>VLOOKUP($C304,'3B.Demographic'!$C$15:$N$414,8,FALSE)</f>
        <v>0</v>
      </c>
      <c r="AD304" s="1447">
        <f>VLOOKUP($C304,'3B.Demographic'!$C$15:$N$414,9,FALSE)</f>
        <v>0</v>
      </c>
      <c r="AE304" s="1447">
        <f>VLOOKUP($C304,'3B.Demographic'!$C$15:$N$414,10,FALSE)</f>
        <v>0</v>
      </c>
      <c r="AF304" s="1475">
        <f>VLOOKUP($C304,'3B.Demographic'!$C$15:$N$414,11,FALSE)</f>
        <v>0</v>
      </c>
      <c r="AG304" s="1229">
        <f>VLOOKUP($C304,'3B.Demographic'!$C$15:$N$414,12,FALSE)</f>
        <v>0</v>
      </c>
    </row>
    <row r="305" spans="1:33" ht="20.100000000000001" customHeight="1">
      <c r="A305" s="217" t="str">
        <f>IF(D305&lt;&gt;"", ' 1A.Prop&amp;Residents'!$B$7, "")</f>
        <v/>
      </c>
      <c r="B305" s="217" t="str">
        <f t="shared" si="14"/>
        <v/>
      </c>
      <c r="C305" s="34">
        <v>291</v>
      </c>
      <c r="D305" s="153"/>
      <c r="E305" s="154"/>
      <c r="F305" s="1775"/>
      <c r="G305" s="155"/>
      <c r="H305" s="156"/>
      <c r="I305" s="154"/>
      <c r="J305" s="157"/>
      <c r="K305" s="156"/>
      <c r="L305" s="154"/>
      <c r="M305" s="609" t="str">
        <f>IF(L305="","",IF(E305="","",IF('1B.TransitionalProg'!$H$8&gt;0,"",VLOOKUP($E305,' 1A.Prop&amp;Residents'!$P$41:$R$47,2,FALSE))))</f>
        <v/>
      </c>
      <c r="N305" s="609" t="str">
        <f>IF(L305="","",IF(E305="","",IF('1B.TransitionalProg'!$H$8&gt;0,"",VLOOKUP($E305,' 1A.Prop&amp;Residents'!$P$41:$R$47,3,FALSE))))</f>
        <v/>
      </c>
      <c r="O305" s="610" t="str">
        <f>IF(L305="", "", IF(E305="", "", IF('1B.TransitionalProg'!$H$8&gt;0,"",IF(L305&lt;M305,"overHOUSED?",IF(L305&gt;N305, "OVERcrowded?","")))))</f>
        <v/>
      </c>
      <c r="P305" s="623"/>
      <c r="Q305" s="154"/>
      <c r="R305" s="154"/>
      <c r="S305" s="156"/>
      <c r="T305" s="156"/>
      <c r="U305" s="156"/>
      <c r="V305" s="156"/>
      <c r="W305" s="1580" t="str">
        <f t="shared" si="12"/>
        <v/>
      </c>
      <c r="X305" s="155"/>
      <c r="Y305" s="156"/>
      <c r="Z305" s="233" t="str">
        <f t="shared" si="13"/>
        <v/>
      </c>
      <c r="AA305" s="1447">
        <f>VLOOKUP($C305,'3B.Demographic'!$C$15:$N$414,6,FALSE)</f>
        <v>0</v>
      </c>
      <c r="AB305" s="1447">
        <f>VLOOKUP($C305,'3B.Demographic'!$C$15:$N$414,7,FALSE)</f>
        <v>0</v>
      </c>
      <c r="AC305" s="1447">
        <f>VLOOKUP($C305,'3B.Demographic'!$C$15:$N$414,8,FALSE)</f>
        <v>0</v>
      </c>
      <c r="AD305" s="1447">
        <f>VLOOKUP($C305,'3B.Demographic'!$C$15:$N$414,9,FALSE)</f>
        <v>0</v>
      </c>
      <c r="AE305" s="1447">
        <f>VLOOKUP($C305,'3B.Demographic'!$C$15:$N$414,10,FALSE)</f>
        <v>0</v>
      </c>
      <c r="AF305" s="1475">
        <f>VLOOKUP($C305,'3B.Demographic'!$C$15:$N$414,11,FALSE)</f>
        <v>0</v>
      </c>
      <c r="AG305" s="1229">
        <f>VLOOKUP($C305,'3B.Demographic'!$C$15:$N$414,12,FALSE)</f>
        <v>0</v>
      </c>
    </row>
    <row r="306" spans="1:33" ht="20.100000000000001" customHeight="1">
      <c r="A306" s="217" t="str">
        <f>IF(D306&lt;&gt;"", ' 1A.Prop&amp;Residents'!$B$7, "")</f>
        <v/>
      </c>
      <c r="B306" s="217" t="str">
        <f t="shared" si="14"/>
        <v/>
      </c>
      <c r="C306" s="34">
        <v>292</v>
      </c>
      <c r="D306" s="153"/>
      <c r="E306" s="154"/>
      <c r="F306" s="1775"/>
      <c r="G306" s="155"/>
      <c r="H306" s="156"/>
      <c r="I306" s="154"/>
      <c r="J306" s="157"/>
      <c r="K306" s="156"/>
      <c r="L306" s="154"/>
      <c r="M306" s="609" t="str">
        <f>IF(L306="","",IF(E306="","",IF('1B.TransitionalProg'!$H$8&gt;0,"",VLOOKUP($E306,' 1A.Prop&amp;Residents'!$P$41:$R$47,2,FALSE))))</f>
        <v/>
      </c>
      <c r="N306" s="609" t="str">
        <f>IF(L306="","",IF(E306="","",IF('1B.TransitionalProg'!$H$8&gt;0,"",VLOOKUP($E306,' 1A.Prop&amp;Residents'!$P$41:$R$47,3,FALSE))))</f>
        <v/>
      </c>
      <c r="O306" s="610" t="str">
        <f>IF(L306="", "", IF(E306="", "", IF('1B.TransitionalProg'!$H$8&gt;0,"",IF(L306&lt;M306,"overHOUSED?",IF(L306&gt;N306, "OVERcrowded?","")))))</f>
        <v/>
      </c>
      <c r="P306" s="623"/>
      <c r="Q306" s="154"/>
      <c r="R306" s="154"/>
      <c r="S306" s="156"/>
      <c r="T306" s="156"/>
      <c r="U306" s="156"/>
      <c r="V306" s="156"/>
      <c r="W306" s="1580" t="str">
        <f t="shared" si="12"/>
        <v/>
      </c>
      <c r="X306" s="155"/>
      <c r="Y306" s="156"/>
      <c r="Z306" s="233" t="str">
        <f t="shared" si="13"/>
        <v/>
      </c>
      <c r="AA306" s="1447">
        <f>VLOOKUP($C306,'3B.Demographic'!$C$15:$N$414,6,FALSE)</f>
        <v>0</v>
      </c>
      <c r="AB306" s="1447">
        <f>VLOOKUP($C306,'3B.Demographic'!$C$15:$N$414,7,FALSE)</f>
        <v>0</v>
      </c>
      <c r="AC306" s="1447">
        <f>VLOOKUP($C306,'3B.Demographic'!$C$15:$N$414,8,FALSE)</f>
        <v>0</v>
      </c>
      <c r="AD306" s="1447">
        <f>VLOOKUP($C306,'3B.Demographic'!$C$15:$N$414,9,FALSE)</f>
        <v>0</v>
      </c>
      <c r="AE306" s="1447">
        <f>VLOOKUP($C306,'3B.Demographic'!$C$15:$N$414,10,FALSE)</f>
        <v>0</v>
      </c>
      <c r="AF306" s="1475">
        <f>VLOOKUP($C306,'3B.Demographic'!$C$15:$N$414,11,FALSE)</f>
        <v>0</v>
      </c>
      <c r="AG306" s="1229">
        <f>VLOOKUP($C306,'3B.Demographic'!$C$15:$N$414,12,FALSE)</f>
        <v>0</v>
      </c>
    </row>
    <row r="307" spans="1:33" ht="20.100000000000001" customHeight="1">
      <c r="A307" s="217" t="str">
        <f>IF(D307&lt;&gt;"", ' 1A.Prop&amp;Residents'!$B$7, "")</f>
        <v/>
      </c>
      <c r="B307" s="217" t="str">
        <f t="shared" si="14"/>
        <v/>
      </c>
      <c r="C307" s="34">
        <v>293</v>
      </c>
      <c r="D307" s="153"/>
      <c r="E307" s="154"/>
      <c r="F307" s="1775"/>
      <c r="G307" s="155"/>
      <c r="H307" s="156"/>
      <c r="I307" s="154"/>
      <c r="J307" s="157"/>
      <c r="K307" s="156"/>
      <c r="L307" s="154"/>
      <c r="M307" s="609" t="str">
        <f>IF(L307="","",IF(E307="","",IF('1B.TransitionalProg'!$H$8&gt;0,"",VLOOKUP($E307,' 1A.Prop&amp;Residents'!$P$41:$R$47,2,FALSE))))</f>
        <v/>
      </c>
      <c r="N307" s="609" t="str">
        <f>IF(L307="","",IF(E307="","",IF('1B.TransitionalProg'!$H$8&gt;0,"",VLOOKUP($E307,' 1A.Prop&amp;Residents'!$P$41:$R$47,3,FALSE))))</f>
        <v/>
      </c>
      <c r="O307" s="610" t="str">
        <f>IF(L307="", "", IF(E307="", "", IF('1B.TransitionalProg'!$H$8&gt;0,"",IF(L307&lt;M307,"overHOUSED?",IF(L307&gt;N307, "OVERcrowded?","")))))</f>
        <v/>
      </c>
      <c r="P307" s="623"/>
      <c r="Q307" s="154"/>
      <c r="R307" s="154"/>
      <c r="S307" s="156"/>
      <c r="T307" s="156"/>
      <c r="U307" s="156"/>
      <c r="V307" s="156"/>
      <c r="W307" s="1580" t="str">
        <f t="shared" si="12"/>
        <v/>
      </c>
      <c r="X307" s="155"/>
      <c r="Y307" s="156"/>
      <c r="Z307" s="233" t="str">
        <f t="shared" si="13"/>
        <v/>
      </c>
      <c r="AA307" s="1447">
        <f>VLOOKUP($C307,'3B.Demographic'!$C$15:$N$414,6,FALSE)</f>
        <v>0</v>
      </c>
      <c r="AB307" s="1447">
        <f>VLOOKUP($C307,'3B.Demographic'!$C$15:$N$414,7,FALSE)</f>
        <v>0</v>
      </c>
      <c r="AC307" s="1447">
        <f>VLOOKUP($C307,'3B.Demographic'!$C$15:$N$414,8,FALSE)</f>
        <v>0</v>
      </c>
      <c r="AD307" s="1447">
        <f>VLOOKUP($C307,'3B.Demographic'!$C$15:$N$414,9,FALSE)</f>
        <v>0</v>
      </c>
      <c r="AE307" s="1447">
        <f>VLOOKUP($C307,'3B.Demographic'!$C$15:$N$414,10,FALSE)</f>
        <v>0</v>
      </c>
      <c r="AF307" s="1475">
        <f>VLOOKUP($C307,'3B.Demographic'!$C$15:$N$414,11,FALSE)</f>
        <v>0</v>
      </c>
      <c r="AG307" s="1229">
        <f>VLOOKUP($C307,'3B.Demographic'!$C$15:$N$414,12,FALSE)</f>
        <v>0</v>
      </c>
    </row>
    <row r="308" spans="1:33" ht="20.100000000000001" customHeight="1">
      <c r="A308" s="217" t="str">
        <f>IF(D308&lt;&gt;"", ' 1A.Prop&amp;Residents'!$B$7, "")</f>
        <v/>
      </c>
      <c r="B308" s="217" t="str">
        <f t="shared" si="14"/>
        <v/>
      </c>
      <c r="C308" s="34">
        <v>294</v>
      </c>
      <c r="D308" s="153"/>
      <c r="E308" s="154"/>
      <c r="F308" s="1775"/>
      <c r="G308" s="155"/>
      <c r="H308" s="156"/>
      <c r="I308" s="154"/>
      <c r="J308" s="157"/>
      <c r="K308" s="156"/>
      <c r="L308" s="154"/>
      <c r="M308" s="609" t="str">
        <f>IF(L308="","",IF(E308="","",IF('1B.TransitionalProg'!$H$8&gt;0,"",VLOOKUP($E308,' 1A.Prop&amp;Residents'!$P$41:$R$47,2,FALSE))))</f>
        <v/>
      </c>
      <c r="N308" s="609" t="str">
        <f>IF(L308="","",IF(E308="","",IF('1B.TransitionalProg'!$H$8&gt;0,"",VLOOKUP($E308,' 1A.Prop&amp;Residents'!$P$41:$R$47,3,FALSE))))</f>
        <v/>
      </c>
      <c r="O308" s="610" t="str">
        <f>IF(L308="", "", IF(E308="", "", IF('1B.TransitionalProg'!$H$8&gt;0,"",IF(L308&lt;M308,"overHOUSED?",IF(L308&gt;N308, "OVERcrowded?","")))))</f>
        <v/>
      </c>
      <c r="P308" s="623"/>
      <c r="Q308" s="154"/>
      <c r="R308" s="154"/>
      <c r="S308" s="156"/>
      <c r="T308" s="156"/>
      <c r="U308" s="156"/>
      <c r="V308" s="156"/>
      <c r="W308" s="1580" t="str">
        <f t="shared" si="12"/>
        <v/>
      </c>
      <c r="X308" s="155"/>
      <c r="Y308" s="156"/>
      <c r="Z308" s="233" t="str">
        <f t="shared" si="13"/>
        <v/>
      </c>
      <c r="AA308" s="1447">
        <f>VLOOKUP($C308,'3B.Demographic'!$C$15:$N$414,6,FALSE)</f>
        <v>0</v>
      </c>
      <c r="AB308" s="1447">
        <f>VLOOKUP($C308,'3B.Demographic'!$C$15:$N$414,7,FALSE)</f>
        <v>0</v>
      </c>
      <c r="AC308" s="1447">
        <f>VLOOKUP($C308,'3B.Demographic'!$C$15:$N$414,8,FALSE)</f>
        <v>0</v>
      </c>
      <c r="AD308" s="1447">
        <f>VLOOKUP($C308,'3B.Demographic'!$C$15:$N$414,9,FALSE)</f>
        <v>0</v>
      </c>
      <c r="AE308" s="1447">
        <f>VLOOKUP($C308,'3B.Demographic'!$C$15:$N$414,10,FALSE)</f>
        <v>0</v>
      </c>
      <c r="AF308" s="1475">
        <f>VLOOKUP($C308,'3B.Demographic'!$C$15:$N$414,11,FALSE)</f>
        <v>0</v>
      </c>
      <c r="AG308" s="1229">
        <f>VLOOKUP($C308,'3B.Demographic'!$C$15:$N$414,12,FALSE)</f>
        <v>0</v>
      </c>
    </row>
    <row r="309" spans="1:33" ht="20.100000000000001" customHeight="1">
      <c r="A309" s="217" t="str">
        <f>IF(D309&lt;&gt;"", ' 1A.Prop&amp;Residents'!$B$7, "")</f>
        <v/>
      </c>
      <c r="B309" s="217" t="str">
        <f t="shared" si="14"/>
        <v/>
      </c>
      <c r="C309" s="34">
        <v>295</v>
      </c>
      <c r="D309" s="153"/>
      <c r="E309" s="154"/>
      <c r="F309" s="1775"/>
      <c r="G309" s="155"/>
      <c r="H309" s="156"/>
      <c r="I309" s="154"/>
      <c r="J309" s="157"/>
      <c r="K309" s="156"/>
      <c r="L309" s="154"/>
      <c r="M309" s="609" t="str">
        <f>IF(L309="","",IF(E309="","",IF('1B.TransitionalProg'!$H$8&gt;0,"",VLOOKUP($E309,' 1A.Prop&amp;Residents'!$P$41:$R$47,2,FALSE))))</f>
        <v/>
      </c>
      <c r="N309" s="609" t="str">
        <f>IF(L309="","",IF(E309="","",IF('1B.TransitionalProg'!$H$8&gt;0,"",VLOOKUP($E309,' 1A.Prop&amp;Residents'!$P$41:$R$47,3,FALSE))))</f>
        <v/>
      </c>
      <c r="O309" s="610" t="str">
        <f>IF(L309="", "", IF(E309="", "", IF('1B.TransitionalProg'!$H$8&gt;0,"",IF(L309&lt;M309,"overHOUSED?",IF(L309&gt;N309, "OVERcrowded?","")))))</f>
        <v/>
      </c>
      <c r="P309" s="623"/>
      <c r="Q309" s="154"/>
      <c r="R309" s="154"/>
      <c r="S309" s="156"/>
      <c r="T309" s="156"/>
      <c r="U309" s="156"/>
      <c r="V309" s="156"/>
      <c r="W309" s="1580" t="str">
        <f t="shared" si="12"/>
        <v/>
      </c>
      <c r="X309" s="155"/>
      <c r="Y309" s="156"/>
      <c r="Z309" s="233" t="str">
        <f t="shared" si="13"/>
        <v/>
      </c>
      <c r="AA309" s="1447">
        <f>VLOOKUP($C309,'3B.Demographic'!$C$15:$N$414,6,FALSE)</f>
        <v>0</v>
      </c>
      <c r="AB309" s="1447">
        <f>VLOOKUP($C309,'3B.Demographic'!$C$15:$N$414,7,FALSE)</f>
        <v>0</v>
      </c>
      <c r="AC309" s="1447">
        <f>VLOOKUP($C309,'3B.Demographic'!$C$15:$N$414,8,FALSE)</f>
        <v>0</v>
      </c>
      <c r="AD309" s="1447">
        <f>VLOOKUP($C309,'3B.Demographic'!$C$15:$N$414,9,FALSE)</f>
        <v>0</v>
      </c>
      <c r="AE309" s="1447">
        <f>VLOOKUP($C309,'3B.Demographic'!$C$15:$N$414,10,FALSE)</f>
        <v>0</v>
      </c>
      <c r="AF309" s="1475">
        <f>VLOOKUP($C309,'3B.Demographic'!$C$15:$N$414,11,FALSE)</f>
        <v>0</v>
      </c>
      <c r="AG309" s="1229">
        <f>VLOOKUP($C309,'3B.Demographic'!$C$15:$N$414,12,FALSE)</f>
        <v>0</v>
      </c>
    </row>
    <row r="310" spans="1:33" ht="20.100000000000001" customHeight="1">
      <c r="A310" s="217" t="str">
        <f>IF(D310&lt;&gt;"", ' 1A.Prop&amp;Residents'!$B$7, "")</f>
        <v/>
      </c>
      <c r="B310" s="217" t="str">
        <f t="shared" si="14"/>
        <v/>
      </c>
      <c r="C310" s="34">
        <v>296</v>
      </c>
      <c r="D310" s="153"/>
      <c r="E310" s="154"/>
      <c r="F310" s="1775"/>
      <c r="G310" s="155"/>
      <c r="H310" s="156"/>
      <c r="I310" s="154"/>
      <c r="J310" s="157"/>
      <c r="K310" s="156"/>
      <c r="L310" s="154"/>
      <c r="M310" s="609" t="str">
        <f>IF(L310="","",IF(E310="","",IF('1B.TransitionalProg'!$H$8&gt;0,"",VLOOKUP($E310,' 1A.Prop&amp;Residents'!$P$41:$R$47,2,FALSE))))</f>
        <v/>
      </c>
      <c r="N310" s="609" t="str">
        <f>IF(L310="","",IF(E310="","",IF('1B.TransitionalProg'!$H$8&gt;0,"",VLOOKUP($E310,' 1A.Prop&amp;Residents'!$P$41:$R$47,3,FALSE))))</f>
        <v/>
      </c>
      <c r="O310" s="610" t="str">
        <f>IF(L310="", "", IF(E310="", "", IF('1B.TransitionalProg'!$H$8&gt;0,"",IF(L310&lt;M310,"overHOUSED?",IF(L310&gt;N310, "OVERcrowded?","")))))</f>
        <v/>
      </c>
      <c r="P310" s="623"/>
      <c r="Q310" s="154"/>
      <c r="R310" s="154"/>
      <c r="S310" s="156"/>
      <c r="T310" s="156"/>
      <c r="U310" s="156"/>
      <c r="V310" s="156"/>
      <c r="W310" s="1580" t="str">
        <f t="shared" si="12"/>
        <v/>
      </c>
      <c r="X310" s="155"/>
      <c r="Y310" s="156"/>
      <c r="Z310" s="233" t="str">
        <f t="shared" si="13"/>
        <v/>
      </c>
      <c r="AA310" s="1447">
        <f>VLOOKUP($C310,'3B.Demographic'!$C$15:$N$414,6,FALSE)</f>
        <v>0</v>
      </c>
      <c r="AB310" s="1447">
        <f>VLOOKUP($C310,'3B.Demographic'!$C$15:$N$414,7,FALSE)</f>
        <v>0</v>
      </c>
      <c r="AC310" s="1447">
        <f>VLOOKUP($C310,'3B.Demographic'!$C$15:$N$414,8,FALSE)</f>
        <v>0</v>
      </c>
      <c r="AD310" s="1447">
        <f>VLOOKUP($C310,'3B.Demographic'!$C$15:$N$414,9,FALSE)</f>
        <v>0</v>
      </c>
      <c r="AE310" s="1447">
        <f>VLOOKUP($C310,'3B.Demographic'!$C$15:$N$414,10,FALSE)</f>
        <v>0</v>
      </c>
      <c r="AF310" s="1475">
        <f>VLOOKUP($C310,'3B.Demographic'!$C$15:$N$414,11,FALSE)</f>
        <v>0</v>
      </c>
      <c r="AG310" s="1229">
        <f>VLOOKUP($C310,'3B.Demographic'!$C$15:$N$414,12,FALSE)</f>
        <v>0</v>
      </c>
    </row>
    <row r="311" spans="1:33" ht="20.100000000000001" customHeight="1">
      <c r="A311" s="217" t="str">
        <f>IF(D311&lt;&gt;"", ' 1A.Prop&amp;Residents'!$B$7, "")</f>
        <v/>
      </c>
      <c r="B311" s="217" t="str">
        <f t="shared" si="14"/>
        <v/>
      </c>
      <c r="C311" s="34">
        <v>297</v>
      </c>
      <c r="D311" s="153"/>
      <c r="E311" s="154"/>
      <c r="F311" s="1775"/>
      <c r="G311" s="155"/>
      <c r="H311" s="156"/>
      <c r="I311" s="154"/>
      <c r="J311" s="157"/>
      <c r="K311" s="156"/>
      <c r="L311" s="154"/>
      <c r="M311" s="609" t="str">
        <f>IF(L311="","",IF(E311="","",IF('1B.TransitionalProg'!$H$8&gt;0,"",VLOOKUP($E311,' 1A.Prop&amp;Residents'!$P$41:$R$47,2,FALSE))))</f>
        <v/>
      </c>
      <c r="N311" s="609" t="str">
        <f>IF(L311="","",IF(E311="","",IF('1B.TransitionalProg'!$H$8&gt;0,"",VLOOKUP($E311,' 1A.Prop&amp;Residents'!$P$41:$R$47,3,FALSE))))</f>
        <v/>
      </c>
      <c r="O311" s="610" t="str">
        <f>IF(L311="", "", IF(E311="", "", IF('1B.TransitionalProg'!$H$8&gt;0,"",IF(L311&lt;M311,"overHOUSED?",IF(L311&gt;N311, "OVERcrowded?","")))))</f>
        <v/>
      </c>
      <c r="P311" s="623"/>
      <c r="Q311" s="154"/>
      <c r="R311" s="154"/>
      <c r="S311" s="156"/>
      <c r="T311" s="156"/>
      <c r="U311" s="156"/>
      <c r="V311" s="156"/>
      <c r="W311" s="1580" t="str">
        <f t="shared" si="12"/>
        <v/>
      </c>
      <c r="X311" s="155"/>
      <c r="Y311" s="156"/>
      <c r="Z311" s="233" t="str">
        <f t="shared" si="13"/>
        <v/>
      </c>
      <c r="AA311" s="1447">
        <f>VLOOKUP($C311,'3B.Demographic'!$C$15:$N$414,6,FALSE)</f>
        <v>0</v>
      </c>
      <c r="AB311" s="1447">
        <f>VLOOKUP($C311,'3B.Demographic'!$C$15:$N$414,7,FALSE)</f>
        <v>0</v>
      </c>
      <c r="AC311" s="1447">
        <f>VLOOKUP($C311,'3B.Demographic'!$C$15:$N$414,8,FALSE)</f>
        <v>0</v>
      </c>
      <c r="AD311" s="1447">
        <f>VLOOKUP($C311,'3B.Demographic'!$C$15:$N$414,9,FALSE)</f>
        <v>0</v>
      </c>
      <c r="AE311" s="1447">
        <f>VLOOKUP($C311,'3B.Demographic'!$C$15:$N$414,10,FALSE)</f>
        <v>0</v>
      </c>
      <c r="AF311" s="1475">
        <f>VLOOKUP($C311,'3B.Demographic'!$C$15:$N$414,11,FALSE)</f>
        <v>0</v>
      </c>
      <c r="AG311" s="1229">
        <f>VLOOKUP($C311,'3B.Demographic'!$C$15:$N$414,12,FALSE)</f>
        <v>0</v>
      </c>
    </row>
    <row r="312" spans="1:33" ht="20.100000000000001" customHeight="1">
      <c r="A312" s="217" t="str">
        <f>IF(D312&lt;&gt;"", ' 1A.Prop&amp;Residents'!$B$7, "")</f>
        <v/>
      </c>
      <c r="B312" s="217" t="str">
        <f t="shared" si="14"/>
        <v/>
      </c>
      <c r="C312" s="34">
        <v>298</v>
      </c>
      <c r="D312" s="153"/>
      <c r="E312" s="154"/>
      <c r="F312" s="1775"/>
      <c r="G312" s="155"/>
      <c r="H312" s="156"/>
      <c r="I312" s="154"/>
      <c r="J312" s="157"/>
      <c r="K312" s="156"/>
      <c r="L312" s="154"/>
      <c r="M312" s="609" t="str">
        <f>IF(L312="","",IF(E312="","",IF('1B.TransitionalProg'!$H$8&gt;0,"",VLOOKUP($E312,' 1A.Prop&amp;Residents'!$P$41:$R$47,2,FALSE))))</f>
        <v/>
      </c>
      <c r="N312" s="609" t="str">
        <f>IF(L312="","",IF(E312="","",IF('1B.TransitionalProg'!$H$8&gt;0,"",VLOOKUP($E312,' 1A.Prop&amp;Residents'!$P$41:$R$47,3,FALSE))))</f>
        <v/>
      </c>
      <c r="O312" s="610" t="str">
        <f>IF(L312="", "", IF(E312="", "", IF('1B.TransitionalProg'!$H$8&gt;0,"",IF(L312&lt;M312,"overHOUSED?",IF(L312&gt;N312, "OVERcrowded?","")))))</f>
        <v/>
      </c>
      <c r="P312" s="623"/>
      <c r="Q312" s="154"/>
      <c r="R312" s="154"/>
      <c r="S312" s="156"/>
      <c r="T312" s="156"/>
      <c r="U312" s="156"/>
      <c r="V312" s="156"/>
      <c r="W312" s="1580" t="str">
        <f t="shared" si="12"/>
        <v/>
      </c>
      <c r="X312" s="155"/>
      <c r="Y312" s="156"/>
      <c r="Z312" s="233" t="str">
        <f t="shared" si="13"/>
        <v/>
      </c>
      <c r="AA312" s="1447">
        <f>VLOOKUP($C312,'3B.Demographic'!$C$15:$N$414,6,FALSE)</f>
        <v>0</v>
      </c>
      <c r="AB312" s="1447">
        <f>VLOOKUP($C312,'3B.Demographic'!$C$15:$N$414,7,FALSE)</f>
        <v>0</v>
      </c>
      <c r="AC312" s="1447">
        <f>VLOOKUP($C312,'3B.Demographic'!$C$15:$N$414,8,FALSE)</f>
        <v>0</v>
      </c>
      <c r="AD312" s="1447">
        <f>VLOOKUP($C312,'3B.Demographic'!$C$15:$N$414,9,FALSE)</f>
        <v>0</v>
      </c>
      <c r="AE312" s="1447">
        <f>VLOOKUP($C312,'3B.Demographic'!$C$15:$N$414,10,FALSE)</f>
        <v>0</v>
      </c>
      <c r="AF312" s="1475">
        <f>VLOOKUP($C312,'3B.Demographic'!$C$15:$N$414,11,FALSE)</f>
        <v>0</v>
      </c>
      <c r="AG312" s="1229">
        <f>VLOOKUP($C312,'3B.Demographic'!$C$15:$N$414,12,FALSE)</f>
        <v>0</v>
      </c>
    </row>
    <row r="313" spans="1:33" ht="20.100000000000001" customHeight="1">
      <c r="A313" s="217" t="str">
        <f>IF(D313&lt;&gt;"", ' 1A.Prop&amp;Residents'!$B$7, "")</f>
        <v/>
      </c>
      <c r="B313" s="217" t="str">
        <f t="shared" si="14"/>
        <v/>
      </c>
      <c r="C313" s="34">
        <v>299</v>
      </c>
      <c r="D313" s="153"/>
      <c r="E313" s="154"/>
      <c r="F313" s="1775"/>
      <c r="G313" s="155"/>
      <c r="H313" s="156"/>
      <c r="I313" s="154"/>
      <c r="J313" s="157"/>
      <c r="K313" s="156"/>
      <c r="L313" s="154"/>
      <c r="M313" s="609" t="str">
        <f>IF(L313="","",IF(E313="","",IF('1B.TransitionalProg'!$H$8&gt;0,"",VLOOKUP($E313,' 1A.Prop&amp;Residents'!$P$41:$R$47,2,FALSE))))</f>
        <v/>
      </c>
      <c r="N313" s="609" t="str">
        <f>IF(L313="","",IF(E313="","",IF('1B.TransitionalProg'!$H$8&gt;0,"",VLOOKUP($E313,' 1A.Prop&amp;Residents'!$P$41:$R$47,3,FALSE))))</f>
        <v/>
      </c>
      <c r="O313" s="610" t="str">
        <f>IF(L313="", "", IF(E313="", "", IF('1B.TransitionalProg'!$H$8&gt;0,"",IF(L313&lt;M313,"overHOUSED?",IF(L313&gt;N313, "OVERcrowded?","")))))</f>
        <v/>
      </c>
      <c r="P313" s="623"/>
      <c r="Q313" s="154"/>
      <c r="R313" s="154"/>
      <c r="S313" s="156"/>
      <c r="T313" s="156"/>
      <c r="U313" s="156"/>
      <c r="V313" s="156"/>
      <c r="W313" s="1580" t="str">
        <f t="shared" si="12"/>
        <v/>
      </c>
      <c r="X313" s="155"/>
      <c r="Y313" s="156"/>
      <c r="Z313" s="233" t="str">
        <f t="shared" si="13"/>
        <v/>
      </c>
      <c r="AA313" s="1447">
        <f>VLOOKUP($C313,'3B.Demographic'!$C$15:$N$414,6,FALSE)</f>
        <v>0</v>
      </c>
      <c r="AB313" s="1447">
        <f>VLOOKUP($C313,'3B.Demographic'!$C$15:$N$414,7,FALSE)</f>
        <v>0</v>
      </c>
      <c r="AC313" s="1447">
        <f>VLOOKUP($C313,'3B.Demographic'!$C$15:$N$414,8,FALSE)</f>
        <v>0</v>
      </c>
      <c r="AD313" s="1447">
        <f>VLOOKUP($C313,'3B.Demographic'!$C$15:$N$414,9,FALSE)</f>
        <v>0</v>
      </c>
      <c r="AE313" s="1447">
        <f>VLOOKUP($C313,'3B.Demographic'!$C$15:$N$414,10,FALSE)</f>
        <v>0</v>
      </c>
      <c r="AF313" s="1475">
        <f>VLOOKUP($C313,'3B.Demographic'!$C$15:$N$414,11,FALSE)</f>
        <v>0</v>
      </c>
      <c r="AG313" s="1229">
        <f>VLOOKUP($C313,'3B.Demographic'!$C$15:$N$414,12,FALSE)</f>
        <v>0</v>
      </c>
    </row>
    <row r="314" spans="1:33" ht="20.100000000000001" customHeight="1">
      <c r="A314" s="217" t="str">
        <f>IF(D314&lt;&gt;"", ' 1A.Prop&amp;Residents'!$B$7, "")</f>
        <v/>
      </c>
      <c r="B314" s="217" t="str">
        <f t="shared" si="14"/>
        <v/>
      </c>
      <c r="C314" s="34">
        <v>300</v>
      </c>
      <c r="D314" s="153"/>
      <c r="E314" s="154"/>
      <c r="F314" s="1775"/>
      <c r="G314" s="155"/>
      <c r="H314" s="156"/>
      <c r="I314" s="154"/>
      <c r="J314" s="157"/>
      <c r="K314" s="156"/>
      <c r="L314" s="154"/>
      <c r="M314" s="609" t="str">
        <f>IF(L314="","",IF(E314="","",IF('1B.TransitionalProg'!$H$8&gt;0,"",VLOOKUP($E314,' 1A.Prop&amp;Residents'!$P$41:$R$47,2,FALSE))))</f>
        <v/>
      </c>
      <c r="N314" s="609" t="str">
        <f>IF(L314="","",IF(E314="","",IF('1B.TransitionalProg'!$H$8&gt;0,"",VLOOKUP($E314,' 1A.Prop&amp;Residents'!$P$41:$R$47,3,FALSE))))</f>
        <v/>
      </c>
      <c r="O314" s="610" t="str">
        <f>IF(L314="", "", IF(E314="", "", IF('1B.TransitionalProg'!$H$8&gt;0,"",IF(L314&lt;M314,"overHOUSED?",IF(L314&gt;N314, "OVERcrowded?","")))))</f>
        <v/>
      </c>
      <c r="P314" s="623"/>
      <c r="Q314" s="154"/>
      <c r="R314" s="154"/>
      <c r="S314" s="156"/>
      <c r="T314" s="156"/>
      <c r="U314" s="156"/>
      <c r="V314" s="156"/>
      <c r="W314" s="1580" t="str">
        <f t="shared" si="12"/>
        <v/>
      </c>
      <c r="X314" s="155"/>
      <c r="Y314" s="156"/>
      <c r="Z314" s="233" t="str">
        <f t="shared" si="13"/>
        <v/>
      </c>
      <c r="AA314" s="1447">
        <f>VLOOKUP($C314,'3B.Demographic'!$C$15:$N$414,6,FALSE)</f>
        <v>0</v>
      </c>
      <c r="AB314" s="1447">
        <f>VLOOKUP($C314,'3B.Demographic'!$C$15:$N$414,7,FALSE)</f>
        <v>0</v>
      </c>
      <c r="AC314" s="1447">
        <f>VLOOKUP($C314,'3B.Demographic'!$C$15:$N$414,8,FALSE)</f>
        <v>0</v>
      </c>
      <c r="AD314" s="1447">
        <f>VLOOKUP($C314,'3B.Demographic'!$C$15:$N$414,9,FALSE)</f>
        <v>0</v>
      </c>
      <c r="AE314" s="1447">
        <f>VLOOKUP($C314,'3B.Demographic'!$C$15:$N$414,10,FALSE)</f>
        <v>0</v>
      </c>
      <c r="AF314" s="1475">
        <f>VLOOKUP($C314,'3B.Demographic'!$C$15:$N$414,11,FALSE)</f>
        <v>0</v>
      </c>
      <c r="AG314" s="1229">
        <f>VLOOKUP($C314,'3B.Demographic'!$C$15:$N$414,12,FALSE)</f>
        <v>0</v>
      </c>
    </row>
    <row r="315" spans="1:33" ht="20.100000000000001" customHeight="1">
      <c r="A315" s="217" t="str">
        <f>IF(D315&lt;&gt;"", ' 1A.Prop&amp;Residents'!$B$7, "")</f>
        <v/>
      </c>
      <c r="B315" s="217" t="str">
        <f t="shared" si="14"/>
        <v/>
      </c>
      <c r="C315" s="34">
        <v>301</v>
      </c>
      <c r="D315" s="153"/>
      <c r="E315" s="154"/>
      <c r="F315" s="1775"/>
      <c r="G315" s="155"/>
      <c r="H315" s="156"/>
      <c r="I315" s="154"/>
      <c r="J315" s="157"/>
      <c r="K315" s="156"/>
      <c r="L315" s="154"/>
      <c r="M315" s="609" t="str">
        <f>IF(L315="","",IF(E315="","",IF('1B.TransitionalProg'!$H$8&gt;0,"",VLOOKUP($E315,' 1A.Prop&amp;Residents'!$P$41:$R$47,2,FALSE))))</f>
        <v/>
      </c>
      <c r="N315" s="609" t="str">
        <f>IF(L315="","",IF(E315="","",IF('1B.TransitionalProg'!$H$8&gt;0,"",VLOOKUP($E315,' 1A.Prop&amp;Residents'!$P$41:$R$47,3,FALSE))))</f>
        <v/>
      </c>
      <c r="O315" s="610" t="str">
        <f>IF(L315="", "", IF(E315="", "", IF('1B.TransitionalProg'!$H$8&gt;0,"",IF(L315&lt;M315,"overHOUSED?",IF(L315&gt;N315, "OVERcrowded?","")))))</f>
        <v/>
      </c>
      <c r="P315" s="623"/>
      <c r="Q315" s="154"/>
      <c r="R315" s="154"/>
      <c r="S315" s="156"/>
      <c r="T315" s="156"/>
      <c r="U315" s="156"/>
      <c r="V315" s="156"/>
      <c r="W315" s="1580" t="str">
        <f t="shared" si="12"/>
        <v/>
      </c>
      <c r="X315" s="155"/>
      <c r="Y315" s="156"/>
      <c r="Z315" s="233" t="str">
        <f t="shared" si="13"/>
        <v/>
      </c>
      <c r="AA315" s="1447">
        <f>VLOOKUP($C315,'3B.Demographic'!$C$15:$N$414,6,FALSE)</f>
        <v>0</v>
      </c>
      <c r="AB315" s="1447">
        <f>VLOOKUP($C315,'3B.Demographic'!$C$15:$N$414,7,FALSE)</f>
        <v>0</v>
      </c>
      <c r="AC315" s="1447">
        <f>VLOOKUP($C315,'3B.Demographic'!$C$15:$N$414,8,FALSE)</f>
        <v>0</v>
      </c>
      <c r="AD315" s="1447">
        <f>VLOOKUP($C315,'3B.Demographic'!$C$15:$N$414,9,FALSE)</f>
        <v>0</v>
      </c>
      <c r="AE315" s="1447">
        <f>VLOOKUP($C315,'3B.Demographic'!$C$15:$N$414,10,FALSE)</f>
        <v>0</v>
      </c>
      <c r="AF315" s="1475">
        <f>VLOOKUP($C315,'3B.Demographic'!$C$15:$N$414,11,FALSE)</f>
        <v>0</v>
      </c>
      <c r="AG315" s="1229">
        <f>VLOOKUP($C315,'3B.Demographic'!$C$15:$N$414,12,FALSE)</f>
        <v>0</v>
      </c>
    </row>
    <row r="316" spans="1:33" ht="20.100000000000001" customHeight="1">
      <c r="A316" s="217" t="str">
        <f>IF(D316&lt;&gt;"", ' 1A.Prop&amp;Residents'!$B$7, "")</f>
        <v/>
      </c>
      <c r="B316" s="217" t="str">
        <f t="shared" si="14"/>
        <v/>
      </c>
      <c r="C316" s="34">
        <v>302</v>
      </c>
      <c r="D316" s="153"/>
      <c r="E316" s="154"/>
      <c r="F316" s="1775"/>
      <c r="G316" s="155"/>
      <c r="H316" s="156"/>
      <c r="I316" s="154"/>
      <c r="J316" s="157"/>
      <c r="K316" s="156"/>
      <c r="L316" s="154"/>
      <c r="M316" s="609" t="str">
        <f>IF(L316="","",IF(E316="","",IF('1B.TransitionalProg'!$H$8&gt;0,"",VLOOKUP($E316,' 1A.Prop&amp;Residents'!$P$41:$R$47,2,FALSE))))</f>
        <v/>
      </c>
      <c r="N316" s="609" t="str">
        <f>IF(L316="","",IF(E316="","",IF('1B.TransitionalProg'!$H$8&gt;0,"",VLOOKUP($E316,' 1A.Prop&amp;Residents'!$P$41:$R$47,3,FALSE))))</f>
        <v/>
      </c>
      <c r="O316" s="610" t="str">
        <f>IF(L316="", "", IF(E316="", "", IF('1B.TransitionalProg'!$H$8&gt;0,"",IF(L316&lt;M316,"overHOUSED?",IF(L316&gt;N316, "OVERcrowded?","")))))</f>
        <v/>
      </c>
      <c r="P316" s="623"/>
      <c r="Q316" s="154"/>
      <c r="R316" s="154"/>
      <c r="S316" s="156"/>
      <c r="T316" s="156"/>
      <c r="U316" s="156"/>
      <c r="V316" s="156"/>
      <c r="W316" s="1580" t="str">
        <f t="shared" si="12"/>
        <v/>
      </c>
      <c r="X316" s="155"/>
      <c r="Y316" s="156"/>
      <c r="Z316" s="233" t="str">
        <f t="shared" si="13"/>
        <v/>
      </c>
      <c r="AA316" s="1447">
        <f>VLOOKUP($C316,'3B.Demographic'!$C$15:$N$414,6,FALSE)</f>
        <v>0</v>
      </c>
      <c r="AB316" s="1447">
        <f>VLOOKUP($C316,'3B.Demographic'!$C$15:$N$414,7,FALSE)</f>
        <v>0</v>
      </c>
      <c r="AC316" s="1447">
        <f>VLOOKUP($C316,'3B.Demographic'!$C$15:$N$414,8,FALSE)</f>
        <v>0</v>
      </c>
      <c r="AD316" s="1447">
        <f>VLOOKUP($C316,'3B.Demographic'!$C$15:$N$414,9,FALSE)</f>
        <v>0</v>
      </c>
      <c r="AE316" s="1447">
        <f>VLOOKUP($C316,'3B.Demographic'!$C$15:$N$414,10,FALSE)</f>
        <v>0</v>
      </c>
      <c r="AF316" s="1475">
        <f>VLOOKUP($C316,'3B.Demographic'!$C$15:$N$414,11,FALSE)</f>
        <v>0</v>
      </c>
      <c r="AG316" s="1229">
        <f>VLOOKUP($C316,'3B.Demographic'!$C$15:$N$414,12,FALSE)</f>
        <v>0</v>
      </c>
    </row>
    <row r="317" spans="1:33" ht="20.100000000000001" customHeight="1">
      <c r="A317" s="217" t="str">
        <f>IF(D317&lt;&gt;"", ' 1A.Prop&amp;Residents'!$B$7, "")</f>
        <v/>
      </c>
      <c r="B317" s="217" t="str">
        <f t="shared" si="14"/>
        <v/>
      </c>
      <c r="C317" s="34">
        <v>303</v>
      </c>
      <c r="D317" s="153"/>
      <c r="E317" s="154"/>
      <c r="F317" s="1775"/>
      <c r="G317" s="155"/>
      <c r="H317" s="156"/>
      <c r="I317" s="154"/>
      <c r="J317" s="157"/>
      <c r="K317" s="156"/>
      <c r="L317" s="154"/>
      <c r="M317" s="609" t="str">
        <f>IF(L317="","",IF(E317="","",IF('1B.TransitionalProg'!$H$8&gt;0,"",VLOOKUP($E317,' 1A.Prop&amp;Residents'!$P$41:$R$47,2,FALSE))))</f>
        <v/>
      </c>
      <c r="N317" s="609" t="str">
        <f>IF(L317="","",IF(E317="","",IF('1B.TransitionalProg'!$H$8&gt;0,"",VLOOKUP($E317,' 1A.Prop&amp;Residents'!$P$41:$R$47,3,FALSE))))</f>
        <v/>
      </c>
      <c r="O317" s="610" t="str">
        <f>IF(L317="", "", IF(E317="", "", IF('1B.TransitionalProg'!$H$8&gt;0,"",IF(L317&lt;M317,"overHOUSED?",IF(L317&gt;N317, "OVERcrowded?","")))))</f>
        <v/>
      </c>
      <c r="P317" s="623"/>
      <c r="Q317" s="154"/>
      <c r="R317" s="154"/>
      <c r="S317" s="156"/>
      <c r="T317" s="156"/>
      <c r="U317" s="156"/>
      <c r="V317" s="156"/>
      <c r="W317" s="1580" t="str">
        <f t="shared" si="12"/>
        <v/>
      </c>
      <c r="X317" s="155"/>
      <c r="Y317" s="156"/>
      <c r="Z317" s="233" t="str">
        <f t="shared" si="13"/>
        <v/>
      </c>
      <c r="AA317" s="1447">
        <f>VLOOKUP($C317,'3B.Demographic'!$C$15:$N$414,6,FALSE)</f>
        <v>0</v>
      </c>
      <c r="AB317" s="1447">
        <f>VLOOKUP($C317,'3B.Demographic'!$C$15:$N$414,7,FALSE)</f>
        <v>0</v>
      </c>
      <c r="AC317" s="1447">
        <f>VLOOKUP($C317,'3B.Demographic'!$C$15:$N$414,8,FALSE)</f>
        <v>0</v>
      </c>
      <c r="AD317" s="1447">
        <f>VLOOKUP($C317,'3B.Demographic'!$C$15:$N$414,9,FALSE)</f>
        <v>0</v>
      </c>
      <c r="AE317" s="1447">
        <f>VLOOKUP($C317,'3B.Demographic'!$C$15:$N$414,10,FALSE)</f>
        <v>0</v>
      </c>
      <c r="AF317" s="1475">
        <f>VLOOKUP($C317,'3B.Demographic'!$C$15:$N$414,11,FALSE)</f>
        <v>0</v>
      </c>
      <c r="AG317" s="1229">
        <f>VLOOKUP($C317,'3B.Demographic'!$C$15:$N$414,12,FALSE)</f>
        <v>0</v>
      </c>
    </row>
    <row r="318" spans="1:33" ht="20.100000000000001" customHeight="1">
      <c r="A318" s="217" t="str">
        <f>IF(D318&lt;&gt;"", ' 1A.Prop&amp;Residents'!$B$7, "")</f>
        <v/>
      </c>
      <c r="B318" s="217" t="str">
        <f t="shared" si="14"/>
        <v/>
      </c>
      <c r="C318" s="34">
        <v>304</v>
      </c>
      <c r="D318" s="153"/>
      <c r="E318" s="154"/>
      <c r="F318" s="1775"/>
      <c r="G318" s="155"/>
      <c r="H318" s="156"/>
      <c r="I318" s="154"/>
      <c r="J318" s="157"/>
      <c r="K318" s="156"/>
      <c r="L318" s="154"/>
      <c r="M318" s="609" t="str">
        <f>IF(L318="","",IF(E318="","",IF('1B.TransitionalProg'!$H$8&gt;0,"",VLOOKUP($E318,' 1A.Prop&amp;Residents'!$P$41:$R$47,2,FALSE))))</f>
        <v/>
      </c>
      <c r="N318" s="609" t="str">
        <f>IF(L318="","",IF(E318="","",IF('1B.TransitionalProg'!$H$8&gt;0,"",VLOOKUP($E318,' 1A.Prop&amp;Residents'!$P$41:$R$47,3,FALSE))))</f>
        <v/>
      </c>
      <c r="O318" s="610" t="str">
        <f>IF(L318="", "", IF(E318="", "", IF('1B.TransitionalProg'!$H$8&gt;0,"",IF(L318&lt;M318,"overHOUSED?",IF(L318&gt;N318, "OVERcrowded?","")))))</f>
        <v/>
      </c>
      <c r="P318" s="623"/>
      <c r="Q318" s="154"/>
      <c r="R318" s="154"/>
      <c r="S318" s="156"/>
      <c r="T318" s="156"/>
      <c r="U318" s="156"/>
      <c r="V318" s="156"/>
      <c r="W318" s="1580" t="str">
        <f t="shared" si="12"/>
        <v/>
      </c>
      <c r="X318" s="155"/>
      <c r="Y318" s="156"/>
      <c r="Z318" s="233" t="str">
        <f t="shared" si="13"/>
        <v/>
      </c>
      <c r="AA318" s="1447">
        <f>VLOOKUP($C318,'3B.Demographic'!$C$15:$N$414,6,FALSE)</f>
        <v>0</v>
      </c>
      <c r="AB318" s="1447">
        <f>VLOOKUP($C318,'3B.Demographic'!$C$15:$N$414,7,FALSE)</f>
        <v>0</v>
      </c>
      <c r="AC318" s="1447">
        <f>VLOOKUP($C318,'3B.Demographic'!$C$15:$N$414,8,FALSE)</f>
        <v>0</v>
      </c>
      <c r="AD318" s="1447">
        <f>VLOOKUP($C318,'3B.Demographic'!$C$15:$N$414,9,FALSE)</f>
        <v>0</v>
      </c>
      <c r="AE318" s="1447">
        <f>VLOOKUP($C318,'3B.Demographic'!$C$15:$N$414,10,FALSE)</f>
        <v>0</v>
      </c>
      <c r="AF318" s="1475">
        <f>VLOOKUP($C318,'3B.Demographic'!$C$15:$N$414,11,FALSE)</f>
        <v>0</v>
      </c>
      <c r="AG318" s="1229">
        <f>VLOOKUP($C318,'3B.Demographic'!$C$15:$N$414,12,FALSE)</f>
        <v>0</v>
      </c>
    </row>
    <row r="319" spans="1:33" ht="20.100000000000001" customHeight="1">
      <c r="A319" s="217" t="str">
        <f>IF(D319&lt;&gt;"", ' 1A.Prop&amp;Residents'!$B$7, "")</f>
        <v/>
      </c>
      <c r="B319" s="217" t="str">
        <f t="shared" si="14"/>
        <v/>
      </c>
      <c r="C319" s="34">
        <v>305</v>
      </c>
      <c r="D319" s="153"/>
      <c r="E319" s="154"/>
      <c r="F319" s="1775"/>
      <c r="G319" s="155"/>
      <c r="H319" s="156"/>
      <c r="I319" s="154"/>
      <c r="J319" s="157"/>
      <c r="K319" s="156"/>
      <c r="L319" s="154"/>
      <c r="M319" s="609" t="str">
        <f>IF(L319="","",IF(E319="","",IF('1B.TransitionalProg'!$H$8&gt;0,"",VLOOKUP($E319,' 1A.Prop&amp;Residents'!$P$41:$R$47,2,FALSE))))</f>
        <v/>
      </c>
      <c r="N319" s="609" t="str">
        <f>IF(L319="","",IF(E319="","",IF('1B.TransitionalProg'!$H$8&gt;0,"",VLOOKUP($E319,' 1A.Prop&amp;Residents'!$P$41:$R$47,3,FALSE))))</f>
        <v/>
      </c>
      <c r="O319" s="610" t="str">
        <f>IF(L319="", "", IF(E319="", "", IF('1B.TransitionalProg'!$H$8&gt;0,"",IF(L319&lt;M319,"overHOUSED?",IF(L319&gt;N319, "OVERcrowded?","")))))</f>
        <v/>
      </c>
      <c r="P319" s="623"/>
      <c r="Q319" s="154"/>
      <c r="R319" s="154"/>
      <c r="S319" s="156"/>
      <c r="T319" s="156"/>
      <c r="U319" s="156"/>
      <c r="V319" s="156"/>
      <c r="W319" s="1580" t="str">
        <f t="shared" si="12"/>
        <v/>
      </c>
      <c r="X319" s="155"/>
      <c r="Y319" s="156"/>
      <c r="Z319" s="233" t="str">
        <f t="shared" si="13"/>
        <v/>
      </c>
      <c r="AA319" s="1447">
        <f>VLOOKUP($C319,'3B.Demographic'!$C$15:$N$414,6,FALSE)</f>
        <v>0</v>
      </c>
      <c r="AB319" s="1447">
        <f>VLOOKUP($C319,'3B.Demographic'!$C$15:$N$414,7,FALSE)</f>
        <v>0</v>
      </c>
      <c r="AC319" s="1447">
        <f>VLOOKUP($C319,'3B.Demographic'!$C$15:$N$414,8,FALSE)</f>
        <v>0</v>
      </c>
      <c r="AD319" s="1447">
        <f>VLOOKUP($C319,'3B.Demographic'!$C$15:$N$414,9,FALSE)</f>
        <v>0</v>
      </c>
      <c r="AE319" s="1447">
        <f>VLOOKUP($C319,'3B.Demographic'!$C$15:$N$414,10,FALSE)</f>
        <v>0</v>
      </c>
      <c r="AF319" s="1475">
        <f>VLOOKUP($C319,'3B.Demographic'!$C$15:$N$414,11,FALSE)</f>
        <v>0</v>
      </c>
      <c r="AG319" s="1229">
        <f>VLOOKUP($C319,'3B.Demographic'!$C$15:$N$414,12,FALSE)</f>
        <v>0</v>
      </c>
    </row>
    <row r="320" spans="1:33" ht="20.100000000000001" customHeight="1">
      <c r="A320" s="217" t="str">
        <f>IF(D320&lt;&gt;"", ' 1A.Prop&amp;Residents'!$B$7, "")</f>
        <v/>
      </c>
      <c r="B320" s="217" t="str">
        <f t="shared" si="14"/>
        <v/>
      </c>
      <c r="C320" s="34">
        <v>306</v>
      </c>
      <c r="D320" s="153"/>
      <c r="E320" s="154"/>
      <c r="F320" s="1775"/>
      <c r="G320" s="155"/>
      <c r="H320" s="156"/>
      <c r="I320" s="154"/>
      <c r="J320" s="157"/>
      <c r="K320" s="156"/>
      <c r="L320" s="154"/>
      <c r="M320" s="609" t="str">
        <f>IF(L320="","",IF(E320="","",IF('1B.TransitionalProg'!$H$8&gt;0,"",VLOOKUP($E320,' 1A.Prop&amp;Residents'!$P$41:$R$47,2,FALSE))))</f>
        <v/>
      </c>
      <c r="N320" s="609" t="str">
        <f>IF(L320="","",IF(E320="","",IF('1B.TransitionalProg'!$H$8&gt;0,"",VLOOKUP($E320,' 1A.Prop&amp;Residents'!$P$41:$R$47,3,FALSE))))</f>
        <v/>
      </c>
      <c r="O320" s="610" t="str">
        <f>IF(L320="", "", IF(E320="", "", IF('1B.TransitionalProg'!$H$8&gt;0,"",IF(L320&lt;M320,"overHOUSED?",IF(L320&gt;N320, "OVERcrowded?","")))))</f>
        <v/>
      </c>
      <c r="P320" s="623"/>
      <c r="Q320" s="154"/>
      <c r="R320" s="154"/>
      <c r="S320" s="156"/>
      <c r="T320" s="156"/>
      <c r="U320" s="156"/>
      <c r="V320" s="156"/>
      <c r="W320" s="1580" t="str">
        <f t="shared" si="12"/>
        <v/>
      </c>
      <c r="X320" s="155"/>
      <c r="Y320" s="156"/>
      <c r="Z320" s="233" t="str">
        <f t="shared" si="13"/>
        <v/>
      </c>
      <c r="AA320" s="1447">
        <f>VLOOKUP($C320,'3B.Demographic'!$C$15:$N$414,6,FALSE)</f>
        <v>0</v>
      </c>
      <c r="AB320" s="1447">
        <f>VLOOKUP($C320,'3B.Demographic'!$C$15:$N$414,7,FALSE)</f>
        <v>0</v>
      </c>
      <c r="AC320" s="1447">
        <f>VLOOKUP($C320,'3B.Demographic'!$C$15:$N$414,8,FALSE)</f>
        <v>0</v>
      </c>
      <c r="AD320" s="1447">
        <f>VLOOKUP($C320,'3B.Demographic'!$C$15:$N$414,9,FALSE)</f>
        <v>0</v>
      </c>
      <c r="AE320" s="1447">
        <f>VLOOKUP($C320,'3B.Demographic'!$C$15:$N$414,10,FALSE)</f>
        <v>0</v>
      </c>
      <c r="AF320" s="1475">
        <f>VLOOKUP($C320,'3B.Demographic'!$C$15:$N$414,11,FALSE)</f>
        <v>0</v>
      </c>
      <c r="AG320" s="1229">
        <f>VLOOKUP($C320,'3B.Demographic'!$C$15:$N$414,12,FALSE)</f>
        <v>0</v>
      </c>
    </row>
    <row r="321" spans="1:33" ht="20.100000000000001" customHeight="1">
      <c r="A321" s="217" t="str">
        <f>IF(D321&lt;&gt;"", ' 1A.Prop&amp;Residents'!$B$7, "")</f>
        <v/>
      </c>
      <c r="B321" s="217" t="str">
        <f t="shared" si="14"/>
        <v/>
      </c>
      <c r="C321" s="34">
        <v>307</v>
      </c>
      <c r="D321" s="153"/>
      <c r="E321" s="154"/>
      <c r="F321" s="1775"/>
      <c r="G321" s="155"/>
      <c r="H321" s="156"/>
      <c r="I321" s="154"/>
      <c r="J321" s="157"/>
      <c r="K321" s="156"/>
      <c r="L321" s="154"/>
      <c r="M321" s="609" t="str">
        <f>IF(L321="","",IF(E321="","",IF('1B.TransitionalProg'!$H$8&gt;0,"",VLOOKUP($E321,' 1A.Prop&amp;Residents'!$P$41:$R$47,2,FALSE))))</f>
        <v/>
      </c>
      <c r="N321" s="609" t="str">
        <f>IF(L321="","",IF(E321="","",IF('1B.TransitionalProg'!$H$8&gt;0,"",VLOOKUP($E321,' 1A.Prop&amp;Residents'!$P$41:$R$47,3,FALSE))))</f>
        <v/>
      </c>
      <c r="O321" s="610" t="str">
        <f>IF(L321="", "", IF(E321="", "", IF('1B.TransitionalProg'!$H$8&gt;0,"",IF(L321&lt;M321,"overHOUSED?",IF(L321&gt;N321, "OVERcrowded?","")))))</f>
        <v/>
      </c>
      <c r="P321" s="623"/>
      <c r="Q321" s="154"/>
      <c r="R321" s="154"/>
      <c r="S321" s="156"/>
      <c r="T321" s="156"/>
      <c r="U321" s="156"/>
      <c r="V321" s="156"/>
      <c r="W321" s="1580" t="str">
        <f t="shared" si="12"/>
        <v/>
      </c>
      <c r="X321" s="155"/>
      <c r="Y321" s="156"/>
      <c r="Z321" s="233" t="str">
        <f t="shared" si="13"/>
        <v/>
      </c>
      <c r="AA321" s="1447">
        <f>VLOOKUP($C321,'3B.Demographic'!$C$15:$N$414,6,FALSE)</f>
        <v>0</v>
      </c>
      <c r="AB321" s="1447">
        <f>VLOOKUP($C321,'3B.Demographic'!$C$15:$N$414,7,FALSE)</f>
        <v>0</v>
      </c>
      <c r="AC321" s="1447">
        <f>VLOOKUP($C321,'3B.Demographic'!$C$15:$N$414,8,FALSE)</f>
        <v>0</v>
      </c>
      <c r="AD321" s="1447">
        <f>VLOOKUP($C321,'3B.Demographic'!$C$15:$N$414,9,FALSE)</f>
        <v>0</v>
      </c>
      <c r="AE321" s="1447">
        <f>VLOOKUP($C321,'3B.Demographic'!$C$15:$N$414,10,FALSE)</f>
        <v>0</v>
      </c>
      <c r="AF321" s="1475">
        <f>VLOOKUP($C321,'3B.Demographic'!$C$15:$N$414,11,FALSE)</f>
        <v>0</v>
      </c>
      <c r="AG321" s="1229">
        <f>VLOOKUP($C321,'3B.Demographic'!$C$15:$N$414,12,FALSE)</f>
        <v>0</v>
      </c>
    </row>
    <row r="322" spans="1:33" ht="20.100000000000001" customHeight="1">
      <c r="A322" s="217" t="str">
        <f>IF(D322&lt;&gt;"", ' 1A.Prop&amp;Residents'!$B$7, "")</f>
        <v/>
      </c>
      <c r="B322" s="217" t="str">
        <f t="shared" si="14"/>
        <v/>
      </c>
      <c r="C322" s="34">
        <v>308</v>
      </c>
      <c r="D322" s="153"/>
      <c r="E322" s="154"/>
      <c r="F322" s="1775"/>
      <c r="G322" s="155"/>
      <c r="H322" s="156"/>
      <c r="I322" s="154"/>
      <c r="J322" s="157"/>
      <c r="K322" s="156"/>
      <c r="L322" s="154"/>
      <c r="M322" s="609" t="str">
        <f>IF(L322="","",IF(E322="","",IF('1B.TransitionalProg'!$H$8&gt;0,"",VLOOKUP($E322,' 1A.Prop&amp;Residents'!$P$41:$R$47,2,FALSE))))</f>
        <v/>
      </c>
      <c r="N322" s="609" t="str">
        <f>IF(L322="","",IF(E322="","",IF('1B.TransitionalProg'!$H$8&gt;0,"",VLOOKUP($E322,' 1A.Prop&amp;Residents'!$P$41:$R$47,3,FALSE))))</f>
        <v/>
      </c>
      <c r="O322" s="610" t="str">
        <f>IF(L322="", "", IF(E322="", "", IF('1B.TransitionalProg'!$H$8&gt;0,"",IF(L322&lt;M322,"overHOUSED?",IF(L322&gt;N322, "OVERcrowded?","")))))</f>
        <v/>
      </c>
      <c r="P322" s="623"/>
      <c r="Q322" s="154"/>
      <c r="R322" s="154"/>
      <c r="S322" s="156"/>
      <c r="T322" s="156"/>
      <c r="U322" s="156"/>
      <c r="V322" s="156"/>
      <c r="W322" s="1580" t="str">
        <f t="shared" si="12"/>
        <v/>
      </c>
      <c r="X322" s="155"/>
      <c r="Y322" s="156"/>
      <c r="Z322" s="233" t="str">
        <f t="shared" si="13"/>
        <v/>
      </c>
      <c r="AA322" s="1447">
        <f>VLOOKUP($C322,'3B.Demographic'!$C$15:$N$414,6,FALSE)</f>
        <v>0</v>
      </c>
      <c r="AB322" s="1447">
        <f>VLOOKUP($C322,'3B.Demographic'!$C$15:$N$414,7,FALSE)</f>
        <v>0</v>
      </c>
      <c r="AC322" s="1447">
        <f>VLOOKUP($C322,'3B.Demographic'!$C$15:$N$414,8,FALSE)</f>
        <v>0</v>
      </c>
      <c r="AD322" s="1447">
        <f>VLOOKUP($C322,'3B.Demographic'!$C$15:$N$414,9,FALSE)</f>
        <v>0</v>
      </c>
      <c r="AE322" s="1447">
        <f>VLOOKUP($C322,'3B.Demographic'!$C$15:$N$414,10,FALSE)</f>
        <v>0</v>
      </c>
      <c r="AF322" s="1475">
        <f>VLOOKUP($C322,'3B.Demographic'!$C$15:$N$414,11,FALSE)</f>
        <v>0</v>
      </c>
      <c r="AG322" s="1229">
        <f>VLOOKUP($C322,'3B.Demographic'!$C$15:$N$414,12,FALSE)</f>
        <v>0</v>
      </c>
    </row>
    <row r="323" spans="1:33" ht="20.100000000000001" customHeight="1">
      <c r="A323" s="217" t="str">
        <f>IF(D323&lt;&gt;"", ' 1A.Prop&amp;Residents'!$B$7, "")</f>
        <v/>
      </c>
      <c r="B323" s="217" t="str">
        <f t="shared" si="14"/>
        <v/>
      </c>
      <c r="C323" s="34">
        <v>309</v>
      </c>
      <c r="D323" s="153"/>
      <c r="E323" s="154"/>
      <c r="F323" s="1775"/>
      <c r="G323" s="155"/>
      <c r="H323" s="156"/>
      <c r="I323" s="154"/>
      <c r="J323" s="157"/>
      <c r="K323" s="156"/>
      <c r="L323" s="154"/>
      <c r="M323" s="609" t="str">
        <f>IF(L323="","",IF(E323="","",IF('1B.TransitionalProg'!$H$8&gt;0,"",VLOOKUP($E323,' 1A.Prop&amp;Residents'!$P$41:$R$47,2,FALSE))))</f>
        <v/>
      </c>
      <c r="N323" s="609" t="str">
        <f>IF(L323="","",IF(E323="","",IF('1B.TransitionalProg'!$H$8&gt;0,"",VLOOKUP($E323,' 1A.Prop&amp;Residents'!$P$41:$R$47,3,FALSE))))</f>
        <v/>
      </c>
      <c r="O323" s="610" t="str">
        <f>IF(L323="", "", IF(E323="", "", IF('1B.TransitionalProg'!$H$8&gt;0,"",IF(L323&lt;M323,"overHOUSED?",IF(L323&gt;N323, "OVERcrowded?","")))))</f>
        <v/>
      </c>
      <c r="P323" s="623"/>
      <c r="Q323" s="154"/>
      <c r="R323" s="154"/>
      <c r="S323" s="156"/>
      <c r="T323" s="156"/>
      <c r="U323" s="156"/>
      <c r="V323" s="156"/>
      <c r="W323" s="1580" t="str">
        <f t="shared" si="12"/>
        <v/>
      </c>
      <c r="X323" s="155"/>
      <c r="Y323" s="156"/>
      <c r="Z323" s="233" t="str">
        <f t="shared" si="13"/>
        <v/>
      </c>
      <c r="AA323" s="1447">
        <f>VLOOKUP($C323,'3B.Demographic'!$C$15:$N$414,6,FALSE)</f>
        <v>0</v>
      </c>
      <c r="AB323" s="1447">
        <f>VLOOKUP($C323,'3B.Demographic'!$C$15:$N$414,7,FALSE)</f>
        <v>0</v>
      </c>
      <c r="AC323" s="1447">
        <f>VLOOKUP($C323,'3B.Demographic'!$C$15:$N$414,8,FALSE)</f>
        <v>0</v>
      </c>
      <c r="AD323" s="1447">
        <f>VLOOKUP($C323,'3B.Demographic'!$C$15:$N$414,9,FALSE)</f>
        <v>0</v>
      </c>
      <c r="AE323" s="1447">
        <f>VLOOKUP($C323,'3B.Demographic'!$C$15:$N$414,10,FALSE)</f>
        <v>0</v>
      </c>
      <c r="AF323" s="1475">
        <f>VLOOKUP($C323,'3B.Demographic'!$C$15:$N$414,11,FALSE)</f>
        <v>0</v>
      </c>
      <c r="AG323" s="1229">
        <f>VLOOKUP($C323,'3B.Demographic'!$C$15:$N$414,12,FALSE)</f>
        <v>0</v>
      </c>
    </row>
    <row r="324" spans="1:33" ht="20.100000000000001" customHeight="1">
      <c r="A324" s="217" t="str">
        <f>IF(D324&lt;&gt;"", ' 1A.Prop&amp;Residents'!$B$7, "")</f>
        <v/>
      </c>
      <c r="B324" s="217" t="str">
        <f t="shared" si="14"/>
        <v/>
      </c>
      <c r="C324" s="34">
        <v>310</v>
      </c>
      <c r="D324" s="153"/>
      <c r="E324" s="154"/>
      <c r="F324" s="1775"/>
      <c r="G324" s="155"/>
      <c r="H324" s="156"/>
      <c r="I324" s="154"/>
      <c r="J324" s="157"/>
      <c r="K324" s="156"/>
      <c r="L324" s="154"/>
      <c r="M324" s="609" t="str">
        <f>IF(L324="","",IF(E324="","",IF('1B.TransitionalProg'!$H$8&gt;0,"",VLOOKUP($E324,' 1A.Prop&amp;Residents'!$P$41:$R$47,2,FALSE))))</f>
        <v/>
      </c>
      <c r="N324" s="609" t="str">
        <f>IF(L324="","",IF(E324="","",IF('1B.TransitionalProg'!$H$8&gt;0,"",VLOOKUP($E324,' 1A.Prop&amp;Residents'!$P$41:$R$47,3,FALSE))))</f>
        <v/>
      </c>
      <c r="O324" s="610" t="str">
        <f>IF(L324="", "", IF(E324="", "", IF('1B.TransitionalProg'!$H$8&gt;0,"",IF(L324&lt;M324,"overHOUSED?",IF(L324&gt;N324, "OVERcrowded?","")))))</f>
        <v/>
      </c>
      <c r="P324" s="623"/>
      <c r="Q324" s="154"/>
      <c r="R324" s="154"/>
      <c r="S324" s="156"/>
      <c r="T324" s="156"/>
      <c r="U324" s="156"/>
      <c r="V324" s="156"/>
      <c r="W324" s="1580" t="str">
        <f t="shared" si="12"/>
        <v/>
      </c>
      <c r="X324" s="155"/>
      <c r="Y324" s="156"/>
      <c r="Z324" s="233" t="str">
        <f t="shared" si="13"/>
        <v/>
      </c>
      <c r="AA324" s="1447">
        <f>VLOOKUP($C324,'3B.Demographic'!$C$15:$N$414,6,FALSE)</f>
        <v>0</v>
      </c>
      <c r="AB324" s="1447">
        <f>VLOOKUP($C324,'3B.Demographic'!$C$15:$N$414,7,FALSE)</f>
        <v>0</v>
      </c>
      <c r="AC324" s="1447">
        <f>VLOOKUP($C324,'3B.Demographic'!$C$15:$N$414,8,FALSE)</f>
        <v>0</v>
      </c>
      <c r="AD324" s="1447">
        <f>VLOOKUP($C324,'3B.Demographic'!$C$15:$N$414,9,FALSE)</f>
        <v>0</v>
      </c>
      <c r="AE324" s="1447">
        <f>VLOOKUP($C324,'3B.Demographic'!$C$15:$N$414,10,FALSE)</f>
        <v>0</v>
      </c>
      <c r="AF324" s="1475">
        <f>VLOOKUP($C324,'3B.Demographic'!$C$15:$N$414,11,FALSE)</f>
        <v>0</v>
      </c>
      <c r="AG324" s="1229">
        <f>VLOOKUP($C324,'3B.Demographic'!$C$15:$N$414,12,FALSE)</f>
        <v>0</v>
      </c>
    </row>
    <row r="325" spans="1:33" ht="20.100000000000001" customHeight="1">
      <c r="A325" s="217" t="str">
        <f>IF(D325&lt;&gt;"", ' 1A.Prop&amp;Residents'!$B$7, "")</f>
        <v/>
      </c>
      <c r="B325" s="217" t="str">
        <f t="shared" si="14"/>
        <v/>
      </c>
      <c r="C325" s="34">
        <v>311</v>
      </c>
      <c r="D325" s="153"/>
      <c r="E325" s="154"/>
      <c r="F325" s="1775"/>
      <c r="G325" s="155"/>
      <c r="H325" s="156"/>
      <c r="I325" s="154"/>
      <c r="J325" s="157"/>
      <c r="K325" s="156"/>
      <c r="L325" s="154"/>
      <c r="M325" s="609" t="str">
        <f>IF(L325="","",IF(E325="","",IF('1B.TransitionalProg'!$H$8&gt;0,"",VLOOKUP($E325,' 1A.Prop&amp;Residents'!$P$41:$R$47,2,FALSE))))</f>
        <v/>
      </c>
      <c r="N325" s="609" t="str">
        <f>IF(L325="","",IF(E325="","",IF('1B.TransitionalProg'!$H$8&gt;0,"",VLOOKUP($E325,' 1A.Prop&amp;Residents'!$P$41:$R$47,3,FALSE))))</f>
        <v/>
      </c>
      <c r="O325" s="610" t="str">
        <f>IF(L325="", "", IF(E325="", "", IF('1B.TransitionalProg'!$H$8&gt;0,"",IF(L325&lt;M325,"overHOUSED?",IF(L325&gt;N325, "OVERcrowded?","")))))</f>
        <v/>
      </c>
      <c r="P325" s="623"/>
      <c r="Q325" s="154"/>
      <c r="R325" s="154"/>
      <c r="S325" s="156"/>
      <c r="T325" s="156"/>
      <c r="U325" s="156"/>
      <c r="V325" s="156"/>
      <c r="W325" s="1580" t="str">
        <f t="shared" si="12"/>
        <v/>
      </c>
      <c r="X325" s="155"/>
      <c r="Y325" s="156"/>
      <c r="Z325" s="233" t="str">
        <f t="shared" si="13"/>
        <v/>
      </c>
      <c r="AA325" s="1447">
        <f>VLOOKUP($C325,'3B.Demographic'!$C$15:$N$414,6,FALSE)</f>
        <v>0</v>
      </c>
      <c r="AB325" s="1447">
        <f>VLOOKUP($C325,'3B.Demographic'!$C$15:$N$414,7,FALSE)</f>
        <v>0</v>
      </c>
      <c r="AC325" s="1447">
        <f>VLOOKUP($C325,'3B.Demographic'!$C$15:$N$414,8,FALSE)</f>
        <v>0</v>
      </c>
      <c r="AD325" s="1447">
        <f>VLOOKUP($C325,'3B.Demographic'!$C$15:$N$414,9,FALSE)</f>
        <v>0</v>
      </c>
      <c r="AE325" s="1447">
        <f>VLOOKUP($C325,'3B.Demographic'!$C$15:$N$414,10,FALSE)</f>
        <v>0</v>
      </c>
      <c r="AF325" s="1475">
        <f>VLOOKUP($C325,'3B.Demographic'!$C$15:$N$414,11,FALSE)</f>
        <v>0</v>
      </c>
      <c r="AG325" s="1229">
        <f>VLOOKUP($C325,'3B.Demographic'!$C$15:$N$414,12,FALSE)</f>
        <v>0</v>
      </c>
    </row>
    <row r="326" spans="1:33" ht="20.100000000000001" customHeight="1">
      <c r="A326" s="217" t="str">
        <f>IF(D326&lt;&gt;"", ' 1A.Prop&amp;Residents'!$B$7, "")</f>
        <v/>
      </c>
      <c r="B326" s="217" t="str">
        <f t="shared" si="14"/>
        <v/>
      </c>
      <c r="C326" s="34">
        <v>312</v>
      </c>
      <c r="D326" s="153"/>
      <c r="E326" s="154"/>
      <c r="F326" s="1775"/>
      <c r="G326" s="155"/>
      <c r="H326" s="156"/>
      <c r="I326" s="154"/>
      <c r="J326" s="157"/>
      <c r="K326" s="156"/>
      <c r="L326" s="154"/>
      <c r="M326" s="609" t="str">
        <f>IF(L326="","",IF(E326="","",IF('1B.TransitionalProg'!$H$8&gt;0,"",VLOOKUP($E326,' 1A.Prop&amp;Residents'!$P$41:$R$47,2,FALSE))))</f>
        <v/>
      </c>
      <c r="N326" s="609" t="str">
        <f>IF(L326="","",IF(E326="","",IF('1B.TransitionalProg'!$H$8&gt;0,"",VLOOKUP($E326,' 1A.Prop&amp;Residents'!$P$41:$R$47,3,FALSE))))</f>
        <v/>
      </c>
      <c r="O326" s="610" t="str">
        <f>IF(L326="", "", IF(E326="", "", IF('1B.TransitionalProg'!$H$8&gt;0,"",IF(L326&lt;M326,"overHOUSED?",IF(L326&gt;N326, "OVERcrowded?","")))))</f>
        <v/>
      </c>
      <c r="P326" s="623"/>
      <c r="Q326" s="154"/>
      <c r="R326" s="154"/>
      <c r="S326" s="156"/>
      <c r="T326" s="156"/>
      <c r="U326" s="156"/>
      <c r="V326" s="156"/>
      <c r="W326" s="1580" t="str">
        <f t="shared" si="12"/>
        <v/>
      </c>
      <c r="X326" s="155"/>
      <c r="Y326" s="156"/>
      <c r="Z326" s="233" t="str">
        <f t="shared" si="13"/>
        <v/>
      </c>
      <c r="AA326" s="1447">
        <f>VLOOKUP($C326,'3B.Demographic'!$C$15:$N$414,6,FALSE)</f>
        <v>0</v>
      </c>
      <c r="AB326" s="1447">
        <f>VLOOKUP($C326,'3B.Demographic'!$C$15:$N$414,7,FALSE)</f>
        <v>0</v>
      </c>
      <c r="AC326" s="1447">
        <f>VLOOKUP($C326,'3B.Demographic'!$C$15:$N$414,8,FALSE)</f>
        <v>0</v>
      </c>
      <c r="AD326" s="1447">
        <f>VLOOKUP($C326,'3B.Demographic'!$C$15:$N$414,9,FALSE)</f>
        <v>0</v>
      </c>
      <c r="AE326" s="1447">
        <f>VLOOKUP($C326,'3B.Demographic'!$C$15:$N$414,10,FALSE)</f>
        <v>0</v>
      </c>
      <c r="AF326" s="1475">
        <f>VLOOKUP($C326,'3B.Demographic'!$C$15:$N$414,11,FALSE)</f>
        <v>0</v>
      </c>
      <c r="AG326" s="1229">
        <f>VLOOKUP($C326,'3B.Demographic'!$C$15:$N$414,12,FALSE)</f>
        <v>0</v>
      </c>
    </row>
    <row r="327" spans="1:33" ht="20.100000000000001" customHeight="1">
      <c r="A327" s="217" t="str">
        <f>IF(D327&lt;&gt;"", ' 1A.Prop&amp;Residents'!$B$7, "")</f>
        <v/>
      </c>
      <c r="B327" s="217" t="str">
        <f t="shared" si="14"/>
        <v/>
      </c>
      <c r="C327" s="34">
        <v>313</v>
      </c>
      <c r="D327" s="153"/>
      <c r="E327" s="154"/>
      <c r="F327" s="1775"/>
      <c r="G327" s="155"/>
      <c r="H327" s="156"/>
      <c r="I327" s="154"/>
      <c r="J327" s="157"/>
      <c r="K327" s="156"/>
      <c r="L327" s="154"/>
      <c r="M327" s="609" t="str">
        <f>IF(L327="","",IF(E327="","",IF('1B.TransitionalProg'!$H$8&gt;0,"",VLOOKUP($E327,' 1A.Prop&amp;Residents'!$P$41:$R$47,2,FALSE))))</f>
        <v/>
      </c>
      <c r="N327" s="609" t="str">
        <f>IF(L327="","",IF(E327="","",IF('1B.TransitionalProg'!$H$8&gt;0,"",VLOOKUP($E327,' 1A.Prop&amp;Residents'!$P$41:$R$47,3,FALSE))))</f>
        <v/>
      </c>
      <c r="O327" s="610" t="str">
        <f>IF(L327="", "", IF(E327="", "", IF('1B.TransitionalProg'!$H$8&gt;0,"",IF(L327&lt;M327,"overHOUSED?",IF(L327&gt;N327, "OVERcrowded?","")))))</f>
        <v/>
      </c>
      <c r="P327" s="623"/>
      <c r="Q327" s="154"/>
      <c r="R327" s="154"/>
      <c r="S327" s="156"/>
      <c r="T327" s="156"/>
      <c r="U327" s="156"/>
      <c r="V327" s="156"/>
      <c r="W327" s="1580" t="str">
        <f t="shared" si="12"/>
        <v/>
      </c>
      <c r="X327" s="155"/>
      <c r="Y327" s="156"/>
      <c r="Z327" s="233" t="str">
        <f t="shared" si="13"/>
        <v/>
      </c>
      <c r="AA327" s="1447">
        <f>VLOOKUP($C327,'3B.Demographic'!$C$15:$N$414,6,FALSE)</f>
        <v>0</v>
      </c>
      <c r="AB327" s="1447">
        <f>VLOOKUP($C327,'3B.Demographic'!$C$15:$N$414,7,FALSE)</f>
        <v>0</v>
      </c>
      <c r="AC327" s="1447">
        <f>VLOOKUP($C327,'3B.Demographic'!$C$15:$N$414,8,FALSE)</f>
        <v>0</v>
      </c>
      <c r="AD327" s="1447">
        <f>VLOOKUP($C327,'3B.Demographic'!$C$15:$N$414,9,FALSE)</f>
        <v>0</v>
      </c>
      <c r="AE327" s="1447">
        <f>VLOOKUP($C327,'3B.Demographic'!$C$15:$N$414,10,FALSE)</f>
        <v>0</v>
      </c>
      <c r="AF327" s="1475">
        <f>VLOOKUP($C327,'3B.Demographic'!$C$15:$N$414,11,FALSE)</f>
        <v>0</v>
      </c>
      <c r="AG327" s="1229">
        <f>VLOOKUP($C327,'3B.Demographic'!$C$15:$N$414,12,FALSE)</f>
        <v>0</v>
      </c>
    </row>
    <row r="328" spans="1:33" ht="20.100000000000001" customHeight="1">
      <c r="A328" s="217" t="str">
        <f>IF(D328&lt;&gt;"", ' 1A.Prop&amp;Residents'!$B$7, "")</f>
        <v/>
      </c>
      <c r="B328" s="217" t="str">
        <f t="shared" si="14"/>
        <v/>
      </c>
      <c r="C328" s="34">
        <v>314</v>
      </c>
      <c r="D328" s="153"/>
      <c r="E328" s="154"/>
      <c r="F328" s="1775"/>
      <c r="G328" s="155"/>
      <c r="H328" s="156"/>
      <c r="I328" s="154"/>
      <c r="J328" s="157"/>
      <c r="K328" s="156"/>
      <c r="L328" s="154"/>
      <c r="M328" s="609" t="str">
        <f>IF(L328="","",IF(E328="","",IF('1B.TransitionalProg'!$H$8&gt;0,"",VLOOKUP($E328,' 1A.Prop&amp;Residents'!$P$41:$R$47,2,FALSE))))</f>
        <v/>
      </c>
      <c r="N328" s="609" t="str">
        <f>IF(L328="","",IF(E328="","",IF('1B.TransitionalProg'!$H$8&gt;0,"",VLOOKUP($E328,' 1A.Prop&amp;Residents'!$P$41:$R$47,3,FALSE))))</f>
        <v/>
      </c>
      <c r="O328" s="610" t="str">
        <f>IF(L328="", "", IF(E328="", "", IF('1B.TransitionalProg'!$H$8&gt;0,"",IF(L328&lt;M328,"overHOUSED?",IF(L328&gt;N328, "OVERcrowded?","")))))</f>
        <v/>
      </c>
      <c r="P328" s="623"/>
      <c r="Q328" s="154"/>
      <c r="R328" s="154"/>
      <c r="S328" s="156"/>
      <c r="T328" s="156"/>
      <c r="U328" s="156"/>
      <c r="V328" s="156"/>
      <c r="W328" s="1580" t="str">
        <f t="shared" si="12"/>
        <v/>
      </c>
      <c r="X328" s="155"/>
      <c r="Y328" s="156"/>
      <c r="Z328" s="233" t="str">
        <f t="shared" si="13"/>
        <v/>
      </c>
      <c r="AA328" s="1447">
        <f>VLOOKUP($C328,'3B.Demographic'!$C$15:$N$414,6,FALSE)</f>
        <v>0</v>
      </c>
      <c r="AB328" s="1447">
        <f>VLOOKUP($C328,'3B.Demographic'!$C$15:$N$414,7,FALSE)</f>
        <v>0</v>
      </c>
      <c r="AC328" s="1447">
        <f>VLOOKUP($C328,'3B.Demographic'!$C$15:$N$414,8,FALSE)</f>
        <v>0</v>
      </c>
      <c r="AD328" s="1447">
        <f>VLOOKUP($C328,'3B.Demographic'!$C$15:$N$414,9,FALSE)</f>
        <v>0</v>
      </c>
      <c r="AE328" s="1447">
        <f>VLOOKUP($C328,'3B.Demographic'!$C$15:$N$414,10,FALSE)</f>
        <v>0</v>
      </c>
      <c r="AF328" s="1475">
        <f>VLOOKUP($C328,'3B.Demographic'!$C$15:$N$414,11,FALSE)</f>
        <v>0</v>
      </c>
      <c r="AG328" s="1229">
        <f>VLOOKUP($C328,'3B.Demographic'!$C$15:$N$414,12,FALSE)</f>
        <v>0</v>
      </c>
    </row>
    <row r="329" spans="1:33" ht="20.100000000000001" customHeight="1">
      <c r="A329" s="217" t="str">
        <f>IF(D329&lt;&gt;"", ' 1A.Prop&amp;Residents'!$B$7, "")</f>
        <v/>
      </c>
      <c r="B329" s="217" t="str">
        <f t="shared" si="14"/>
        <v/>
      </c>
      <c r="C329" s="34">
        <v>315</v>
      </c>
      <c r="D329" s="153"/>
      <c r="E329" s="154"/>
      <c r="F329" s="1775"/>
      <c r="G329" s="155"/>
      <c r="H329" s="156"/>
      <c r="I329" s="154"/>
      <c r="J329" s="157"/>
      <c r="K329" s="156"/>
      <c r="L329" s="154"/>
      <c r="M329" s="609" t="str">
        <f>IF(L329="","",IF(E329="","",IF('1B.TransitionalProg'!$H$8&gt;0,"",VLOOKUP($E329,' 1A.Prop&amp;Residents'!$P$41:$R$47,2,FALSE))))</f>
        <v/>
      </c>
      <c r="N329" s="609" t="str">
        <f>IF(L329="","",IF(E329="","",IF('1B.TransitionalProg'!$H$8&gt;0,"",VLOOKUP($E329,' 1A.Prop&amp;Residents'!$P$41:$R$47,3,FALSE))))</f>
        <v/>
      </c>
      <c r="O329" s="610" t="str">
        <f>IF(L329="", "", IF(E329="", "", IF('1B.TransitionalProg'!$H$8&gt;0,"",IF(L329&lt;M329,"overHOUSED?",IF(L329&gt;N329, "OVERcrowded?","")))))</f>
        <v/>
      </c>
      <c r="P329" s="623"/>
      <c r="Q329" s="154"/>
      <c r="R329" s="154"/>
      <c r="S329" s="156"/>
      <c r="T329" s="156"/>
      <c r="U329" s="156"/>
      <c r="V329" s="156"/>
      <c r="W329" s="1580" t="str">
        <f t="shared" si="12"/>
        <v/>
      </c>
      <c r="X329" s="155"/>
      <c r="Y329" s="156"/>
      <c r="Z329" s="233" t="str">
        <f t="shared" si="13"/>
        <v/>
      </c>
      <c r="AA329" s="1447">
        <f>VLOOKUP($C329,'3B.Demographic'!$C$15:$N$414,6,FALSE)</f>
        <v>0</v>
      </c>
      <c r="AB329" s="1447">
        <f>VLOOKUP($C329,'3B.Demographic'!$C$15:$N$414,7,FALSE)</f>
        <v>0</v>
      </c>
      <c r="AC329" s="1447">
        <f>VLOOKUP($C329,'3B.Demographic'!$C$15:$N$414,8,FALSE)</f>
        <v>0</v>
      </c>
      <c r="AD329" s="1447">
        <f>VLOOKUP($C329,'3B.Demographic'!$C$15:$N$414,9,FALSE)</f>
        <v>0</v>
      </c>
      <c r="AE329" s="1447">
        <f>VLOOKUP($C329,'3B.Demographic'!$C$15:$N$414,10,FALSE)</f>
        <v>0</v>
      </c>
      <c r="AF329" s="1475">
        <f>VLOOKUP($C329,'3B.Demographic'!$C$15:$N$414,11,FALSE)</f>
        <v>0</v>
      </c>
      <c r="AG329" s="1229">
        <f>VLOOKUP($C329,'3B.Demographic'!$C$15:$N$414,12,FALSE)</f>
        <v>0</v>
      </c>
    </row>
    <row r="330" spans="1:33" ht="20.100000000000001" customHeight="1">
      <c r="A330" s="217" t="str">
        <f>IF(D330&lt;&gt;"", ' 1A.Prop&amp;Residents'!$B$7, "")</f>
        <v/>
      </c>
      <c r="B330" s="217" t="str">
        <f t="shared" si="14"/>
        <v/>
      </c>
      <c r="C330" s="34">
        <v>316</v>
      </c>
      <c r="D330" s="153"/>
      <c r="E330" s="154"/>
      <c r="F330" s="1775"/>
      <c r="G330" s="155"/>
      <c r="H330" s="156"/>
      <c r="I330" s="154"/>
      <c r="J330" s="157"/>
      <c r="K330" s="156"/>
      <c r="L330" s="154"/>
      <c r="M330" s="609" t="str">
        <f>IF(L330="","",IF(E330="","",IF('1B.TransitionalProg'!$H$8&gt;0,"",VLOOKUP($E330,' 1A.Prop&amp;Residents'!$P$41:$R$47,2,FALSE))))</f>
        <v/>
      </c>
      <c r="N330" s="609" t="str">
        <f>IF(L330="","",IF(E330="","",IF('1B.TransitionalProg'!$H$8&gt;0,"",VLOOKUP($E330,' 1A.Prop&amp;Residents'!$P$41:$R$47,3,FALSE))))</f>
        <v/>
      </c>
      <c r="O330" s="610" t="str">
        <f>IF(L330="", "", IF(E330="", "", IF('1B.TransitionalProg'!$H$8&gt;0,"",IF(L330&lt;M330,"overHOUSED?",IF(L330&gt;N330, "OVERcrowded?","")))))</f>
        <v/>
      </c>
      <c r="P330" s="623"/>
      <c r="Q330" s="154"/>
      <c r="R330" s="154"/>
      <c r="S330" s="156"/>
      <c r="T330" s="156"/>
      <c r="U330" s="156"/>
      <c r="V330" s="156"/>
      <c r="W330" s="1580" t="str">
        <f t="shared" si="12"/>
        <v/>
      </c>
      <c r="X330" s="155"/>
      <c r="Y330" s="156"/>
      <c r="Z330" s="233" t="str">
        <f t="shared" si="13"/>
        <v/>
      </c>
      <c r="AA330" s="1447">
        <f>VLOOKUP($C330,'3B.Demographic'!$C$15:$N$414,6,FALSE)</f>
        <v>0</v>
      </c>
      <c r="AB330" s="1447">
        <f>VLOOKUP($C330,'3B.Demographic'!$C$15:$N$414,7,FALSE)</f>
        <v>0</v>
      </c>
      <c r="AC330" s="1447">
        <f>VLOOKUP($C330,'3B.Demographic'!$C$15:$N$414,8,FALSE)</f>
        <v>0</v>
      </c>
      <c r="AD330" s="1447">
        <f>VLOOKUP($C330,'3B.Demographic'!$C$15:$N$414,9,FALSE)</f>
        <v>0</v>
      </c>
      <c r="AE330" s="1447">
        <f>VLOOKUP($C330,'3B.Demographic'!$C$15:$N$414,10,FALSE)</f>
        <v>0</v>
      </c>
      <c r="AF330" s="1475">
        <f>VLOOKUP($C330,'3B.Demographic'!$C$15:$N$414,11,FALSE)</f>
        <v>0</v>
      </c>
      <c r="AG330" s="1229">
        <f>VLOOKUP($C330,'3B.Demographic'!$C$15:$N$414,12,FALSE)</f>
        <v>0</v>
      </c>
    </row>
    <row r="331" spans="1:33" ht="20.100000000000001" customHeight="1">
      <c r="A331" s="217" t="str">
        <f>IF(D331&lt;&gt;"", ' 1A.Prop&amp;Residents'!$B$7, "")</f>
        <v/>
      </c>
      <c r="B331" s="217" t="str">
        <f t="shared" si="14"/>
        <v/>
      </c>
      <c r="C331" s="34">
        <v>317</v>
      </c>
      <c r="D331" s="153"/>
      <c r="E331" s="154"/>
      <c r="F331" s="1775"/>
      <c r="G331" s="155"/>
      <c r="H331" s="156"/>
      <c r="I331" s="154"/>
      <c r="J331" s="157"/>
      <c r="K331" s="156"/>
      <c r="L331" s="154"/>
      <c r="M331" s="609" t="str">
        <f>IF(L331="","",IF(E331="","",IF('1B.TransitionalProg'!$H$8&gt;0,"",VLOOKUP($E331,' 1A.Prop&amp;Residents'!$P$41:$R$47,2,FALSE))))</f>
        <v/>
      </c>
      <c r="N331" s="609" t="str">
        <f>IF(L331="","",IF(E331="","",IF('1B.TransitionalProg'!$H$8&gt;0,"",VLOOKUP($E331,' 1A.Prop&amp;Residents'!$P$41:$R$47,3,FALSE))))</f>
        <v/>
      </c>
      <c r="O331" s="610" t="str">
        <f>IF(L331="", "", IF(E331="", "", IF('1B.TransitionalProg'!$H$8&gt;0,"",IF(L331&lt;M331,"overHOUSED?",IF(L331&gt;N331, "OVERcrowded?","")))))</f>
        <v/>
      </c>
      <c r="P331" s="623"/>
      <c r="Q331" s="154"/>
      <c r="R331" s="154"/>
      <c r="S331" s="156"/>
      <c r="T331" s="156"/>
      <c r="U331" s="156"/>
      <c r="V331" s="156"/>
      <c r="W331" s="1580" t="str">
        <f t="shared" si="12"/>
        <v/>
      </c>
      <c r="X331" s="155"/>
      <c r="Y331" s="156"/>
      <c r="Z331" s="233" t="str">
        <f t="shared" si="13"/>
        <v/>
      </c>
      <c r="AA331" s="1447">
        <f>VLOOKUP($C331,'3B.Demographic'!$C$15:$N$414,6,FALSE)</f>
        <v>0</v>
      </c>
      <c r="AB331" s="1447">
        <f>VLOOKUP($C331,'3B.Demographic'!$C$15:$N$414,7,FALSE)</f>
        <v>0</v>
      </c>
      <c r="AC331" s="1447">
        <f>VLOOKUP($C331,'3B.Demographic'!$C$15:$N$414,8,FALSE)</f>
        <v>0</v>
      </c>
      <c r="AD331" s="1447">
        <f>VLOOKUP($C331,'3B.Demographic'!$C$15:$N$414,9,FALSE)</f>
        <v>0</v>
      </c>
      <c r="AE331" s="1447">
        <f>VLOOKUP($C331,'3B.Demographic'!$C$15:$N$414,10,FALSE)</f>
        <v>0</v>
      </c>
      <c r="AF331" s="1475">
        <f>VLOOKUP($C331,'3B.Demographic'!$C$15:$N$414,11,FALSE)</f>
        <v>0</v>
      </c>
      <c r="AG331" s="1229">
        <f>VLOOKUP($C331,'3B.Demographic'!$C$15:$N$414,12,FALSE)</f>
        <v>0</v>
      </c>
    </row>
    <row r="332" spans="1:33" ht="20.100000000000001" customHeight="1">
      <c r="A332" s="217" t="str">
        <f>IF(D332&lt;&gt;"", ' 1A.Prop&amp;Residents'!$B$7, "")</f>
        <v/>
      </c>
      <c r="B332" s="217" t="str">
        <f t="shared" si="14"/>
        <v/>
      </c>
      <c r="C332" s="34">
        <v>318</v>
      </c>
      <c r="D332" s="153"/>
      <c r="E332" s="154"/>
      <c r="F332" s="1775"/>
      <c r="G332" s="155"/>
      <c r="H332" s="156"/>
      <c r="I332" s="154"/>
      <c r="J332" s="157"/>
      <c r="K332" s="156"/>
      <c r="L332" s="154"/>
      <c r="M332" s="609" t="str">
        <f>IF(L332="","",IF(E332="","",IF('1B.TransitionalProg'!$H$8&gt;0,"",VLOOKUP($E332,' 1A.Prop&amp;Residents'!$P$41:$R$47,2,FALSE))))</f>
        <v/>
      </c>
      <c r="N332" s="609" t="str">
        <f>IF(L332="","",IF(E332="","",IF('1B.TransitionalProg'!$H$8&gt;0,"",VLOOKUP($E332,' 1A.Prop&amp;Residents'!$P$41:$R$47,3,FALSE))))</f>
        <v/>
      </c>
      <c r="O332" s="610" t="str">
        <f>IF(L332="", "", IF(E332="", "", IF('1B.TransitionalProg'!$H$8&gt;0,"",IF(L332&lt;M332,"overHOUSED?",IF(L332&gt;N332, "OVERcrowded?","")))))</f>
        <v/>
      </c>
      <c r="P332" s="623"/>
      <c r="Q332" s="154"/>
      <c r="R332" s="154"/>
      <c r="S332" s="156"/>
      <c r="T332" s="156"/>
      <c r="U332" s="156"/>
      <c r="V332" s="156"/>
      <c r="W332" s="1580" t="str">
        <f t="shared" si="12"/>
        <v/>
      </c>
      <c r="X332" s="155"/>
      <c r="Y332" s="156"/>
      <c r="Z332" s="233" t="str">
        <f t="shared" si="13"/>
        <v/>
      </c>
      <c r="AA332" s="1447">
        <f>VLOOKUP($C332,'3B.Demographic'!$C$15:$N$414,6,FALSE)</f>
        <v>0</v>
      </c>
      <c r="AB332" s="1447">
        <f>VLOOKUP($C332,'3B.Demographic'!$C$15:$N$414,7,FALSE)</f>
        <v>0</v>
      </c>
      <c r="AC332" s="1447">
        <f>VLOOKUP($C332,'3B.Demographic'!$C$15:$N$414,8,FALSE)</f>
        <v>0</v>
      </c>
      <c r="AD332" s="1447">
        <f>VLOOKUP($C332,'3B.Demographic'!$C$15:$N$414,9,FALSE)</f>
        <v>0</v>
      </c>
      <c r="AE332" s="1447">
        <f>VLOOKUP($C332,'3B.Demographic'!$C$15:$N$414,10,FALSE)</f>
        <v>0</v>
      </c>
      <c r="AF332" s="1475">
        <f>VLOOKUP($C332,'3B.Demographic'!$C$15:$N$414,11,FALSE)</f>
        <v>0</v>
      </c>
      <c r="AG332" s="1229">
        <f>VLOOKUP($C332,'3B.Demographic'!$C$15:$N$414,12,FALSE)</f>
        <v>0</v>
      </c>
    </row>
    <row r="333" spans="1:33" ht="20.100000000000001" customHeight="1">
      <c r="A333" s="217" t="str">
        <f>IF(D333&lt;&gt;"", ' 1A.Prop&amp;Residents'!$B$7, "")</f>
        <v/>
      </c>
      <c r="B333" s="217" t="str">
        <f t="shared" si="14"/>
        <v/>
      </c>
      <c r="C333" s="34">
        <v>319</v>
      </c>
      <c r="D333" s="153"/>
      <c r="E333" s="154"/>
      <c r="F333" s="1775"/>
      <c r="G333" s="155"/>
      <c r="H333" s="156"/>
      <c r="I333" s="154"/>
      <c r="J333" s="157"/>
      <c r="K333" s="156"/>
      <c r="L333" s="154"/>
      <c r="M333" s="609" t="str">
        <f>IF(L333="","",IF(E333="","",IF('1B.TransitionalProg'!$H$8&gt;0,"",VLOOKUP($E333,' 1A.Prop&amp;Residents'!$P$41:$R$47,2,FALSE))))</f>
        <v/>
      </c>
      <c r="N333" s="609" t="str">
        <f>IF(L333="","",IF(E333="","",IF('1B.TransitionalProg'!$H$8&gt;0,"",VLOOKUP($E333,' 1A.Prop&amp;Residents'!$P$41:$R$47,3,FALSE))))</f>
        <v/>
      </c>
      <c r="O333" s="610" t="str">
        <f>IF(L333="", "", IF(E333="", "", IF('1B.TransitionalProg'!$H$8&gt;0,"",IF(L333&lt;M333,"overHOUSED?",IF(L333&gt;N333, "OVERcrowded?","")))))</f>
        <v/>
      </c>
      <c r="P333" s="623"/>
      <c r="Q333" s="154"/>
      <c r="R333" s="154"/>
      <c r="S333" s="156"/>
      <c r="T333" s="156"/>
      <c r="U333" s="156"/>
      <c r="V333" s="156"/>
      <c r="W333" s="1580" t="str">
        <f t="shared" si="12"/>
        <v/>
      </c>
      <c r="X333" s="155"/>
      <c r="Y333" s="156"/>
      <c r="Z333" s="233" t="str">
        <f t="shared" si="13"/>
        <v/>
      </c>
      <c r="AA333" s="1447">
        <f>VLOOKUP($C333,'3B.Demographic'!$C$15:$N$414,6,FALSE)</f>
        <v>0</v>
      </c>
      <c r="AB333" s="1447">
        <f>VLOOKUP($C333,'3B.Demographic'!$C$15:$N$414,7,FALSE)</f>
        <v>0</v>
      </c>
      <c r="AC333" s="1447">
        <f>VLOOKUP($C333,'3B.Demographic'!$C$15:$N$414,8,FALSE)</f>
        <v>0</v>
      </c>
      <c r="AD333" s="1447">
        <f>VLOOKUP($C333,'3B.Demographic'!$C$15:$N$414,9,FALSE)</f>
        <v>0</v>
      </c>
      <c r="AE333" s="1447">
        <f>VLOOKUP($C333,'3B.Demographic'!$C$15:$N$414,10,FALSE)</f>
        <v>0</v>
      </c>
      <c r="AF333" s="1475">
        <f>VLOOKUP($C333,'3B.Demographic'!$C$15:$N$414,11,FALSE)</f>
        <v>0</v>
      </c>
      <c r="AG333" s="1229">
        <f>VLOOKUP($C333,'3B.Demographic'!$C$15:$N$414,12,FALSE)</f>
        <v>0</v>
      </c>
    </row>
    <row r="334" spans="1:33" ht="20.100000000000001" customHeight="1">
      <c r="A334" s="217" t="str">
        <f>IF(D334&lt;&gt;"", ' 1A.Prop&amp;Residents'!$B$7, "")</f>
        <v/>
      </c>
      <c r="B334" s="217" t="str">
        <f t="shared" si="14"/>
        <v/>
      </c>
      <c r="C334" s="34">
        <v>320</v>
      </c>
      <c r="D334" s="153"/>
      <c r="E334" s="154"/>
      <c r="F334" s="1775"/>
      <c r="G334" s="155"/>
      <c r="H334" s="156"/>
      <c r="I334" s="154"/>
      <c r="J334" s="157"/>
      <c r="K334" s="156"/>
      <c r="L334" s="154"/>
      <c r="M334" s="609" t="str">
        <f>IF(L334="","",IF(E334="","",IF('1B.TransitionalProg'!$H$8&gt;0,"",VLOOKUP($E334,' 1A.Prop&amp;Residents'!$P$41:$R$47,2,FALSE))))</f>
        <v/>
      </c>
      <c r="N334" s="609" t="str">
        <f>IF(L334="","",IF(E334="","",IF('1B.TransitionalProg'!$H$8&gt;0,"",VLOOKUP($E334,' 1A.Prop&amp;Residents'!$P$41:$R$47,3,FALSE))))</f>
        <v/>
      </c>
      <c r="O334" s="610" t="str">
        <f>IF(L334="", "", IF(E334="", "", IF('1B.TransitionalProg'!$H$8&gt;0,"",IF(L334&lt;M334,"overHOUSED?",IF(L334&gt;N334, "OVERcrowded?","")))))</f>
        <v/>
      </c>
      <c r="P334" s="623"/>
      <c r="Q334" s="154"/>
      <c r="R334" s="154"/>
      <c r="S334" s="156"/>
      <c r="T334" s="156"/>
      <c r="U334" s="156"/>
      <c r="V334" s="156"/>
      <c r="W334" s="1580" t="str">
        <f t="shared" si="12"/>
        <v/>
      </c>
      <c r="X334" s="155"/>
      <c r="Y334" s="156"/>
      <c r="Z334" s="233" t="str">
        <f t="shared" si="13"/>
        <v/>
      </c>
      <c r="AA334" s="1447">
        <f>VLOOKUP($C334,'3B.Demographic'!$C$15:$N$414,6,FALSE)</f>
        <v>0</v>
      </c>
      <c r="AB334" s="1447">
        <f>VLOOKUP($C334,'3B.Demographic'!$C$15:$N$414,7,FALSE)</f>
        <v>0</v>
      </c>
      <c r="AC334" s="1447">
        <f>VLOOKUP($C334,'3B.Demographic'!$C$15:$N$414,8,FALSE)</f>
        <v>0</v>
      </c>
      <c r="AD334" s="1447">
        <f>VLOOKUP($C334,'3B.Demographic'!$C$15:$N$414,9,FALSE)</f>
        <v>0</v>
      </c>
      <c r="AE334" s="1447">
        <f>VLOOKUP($C334,'3B.Demographic'!$C$15:$N$414,10,FALSE)</f>
        <v>0</v>
      </c>
      <c r="AF334" s="1475">
        <f>VLOOKUP($C334,'3B.Demographic'!$C$15:$N$414,11,FALSE)</f>
        <v>0</v>
      </c>
      <c r="AG334" s="1229">
        <f>VLOOKUP($C334,'3B.Demographic'!$C$15:$N$414,12,FALSE)</f>
        <v>0</v>
      </c>
    </row>
    <row r="335" spans="1:33" ht="20.100000000000001" customHeight="1">
      <c r="A335" s="217" t="str">
        <f>IF(D335&lt;&gt;"", ' 1A.Prop&amp;Residents'!$B$7, "")</f>
        <v/>
      </c>
      <c r="B335" s="217" t="str">
        <f t="shared" si="14"/>
        <v/>
      </c>
      <c r="C335" s="34">
        <v>321</v>
      </c>
      <c r="D335" s="153"/>
      <c r="E335" s="154"/>
      <c r="F335" s="1775"/>
      <c r="G335" s="155"/>
      <c r="H335" s="156"/>
      <c r="I335" s="154"/>
      <c r="J335" s="157"/>
      <c r="K335" s="156"/>
      <c r="L335" s="154"/>
      <c r="M335" s="609" t="str">
        <f>IF(L335="","",IF(E335="","",IF('1B.TransitionalProg'!$H$8&gt;0,"",VLOOKUP($E335,' 1A.Prop&amp;Residents'!$P$41:$R$47,2,FALSE))))</f>
        <v/>
      </c>
      <c r="N335" s="609" t="str">
        <f>IF(L335="","",IF(E335="","",IF('1B.TransitionalProg'!$H$8&gt;0,"",VLOOKUP($E335,' 1A.Prop&amp;Residents'!$P$41:$R$47,3,FALSE))))</f>
        <v/>
      </c>
      <c r="O335" s="610" t="str">
        <f>IF(L335="", "", IF(E335="", "", IF('1B.TransitionalProg'!$H$8&gt;0,"",IF(L335&lt;M335,"overHOUSED?",IF(L335&gt;N335, "OVERcrowded?","")))))</f>
        <v/>
      </c>
      <c r="P335" s="623"/>
      <c r="Q335" s="154"/>
      <c r="R335" s="154"/>
      <c r="S335" s="156"/>
      <c r="T335" s="156"/>
      <c r="U335" s="156"/>
      <c r="V335" s="156"/>
      <c r="W335" s="1580" t="str">
        <f t="shared" si="12"/>
        <v/>
      </c>
      <c r="X335" s="155"/>
      <c r="Y335" s="156"/>
      <c r="Z335" s="233" t="str">
        <f t="shared" si="13"/>
        <v/>
      </c>
      <c r="AA335" s="1447">
        <f>VLOOKUP($C335,'3B.Demographic'!$C$15:$N$414,6,FALSE)</f>
        <v>0</v>
      </c>
      <c r="AB335" s="1447">
        <f>VLOOKUP($C335,'3B.Demographic'!$C$15:$N$414,7,FALSE)</f>
        <v>0</v>
      </c>
      <c r="AC335" s="1447">
        <f>VLOOKUP($C335,'3B.Demographic'!$C$15:$N$414,8,FALSE)</f>
        <v>0</v>
      </c>
      <c r="AD335" s="1447">
        <f>VLOOKUP($C335,'3B.Demographic'!$C$15:$N$414,9,FALSE)</f>
        <v>0</v>
      </c>
      <c r="AE335" s="1447">
        <f>VLOOKUP($C335,'3B.Demographic'!$C$15:$N$414,10,FALSE)</f>
        <v>0</v>
      </c>
      <c r="AF335" s="1475">
        <f>VLOOKUP($C335,'3B.Demographic'!$C$15:$N$414,11,FALSE)</f>
        <v>0</v>
      </c>
      <c r="AG335" s="1229">
        <f>VLOOKUP($C335,'3B.Demographic'!$C$15:$N$414,12,FALSE)</f>
        <v>0</v>
      </c>
    </row>
    <row r="336" spans="1:33" ht="20.100000000000001" customHeight="1">
      <c r="A336" s="217" t="str">
        <f>IF(D336&lt;&gt;"", ' 1A.Prop&amp;Residents'!$B$7, "")</f>
        <v/>
      </c>
      <c r="B336" s="217" t="str">
        <f t="shared" si="14"/>
        <v/>
      </c>
      <c r="C336" s="34">
        <v>322</v>
      </c>
      <c r="D336" s="153"/>
      <c r="E336" s="154"/>
      <c r="F336" s="1775"/>
      <c r="G336" s="155"/>
      <c r="H336" s="156"/>
      <c r="I336" s="154"/>
      <c r="J336" s="157"/>
      <c r="K336" s="156"/>
      <c r="L336" s="154"/>
      <c r="M336" s="609" t="str">
        <f>IF(L336="","",IF(E336="","",IF('1B.TransitionalProg'!$H$8&gt;0,"",VLOOKUP($E336,' 1A.Prop&amp;Residents'!$P$41:$R$47,2,FALSE))))</f>
        <v/>
      </c>
      <c r="N336" s="609" t="str">
        <f>IF(L336="","",IF(E336="","",IF('1B.TransitionalProg'!$H$8&gt;0,"",VLOOKUP($E336,' 1A.Prop&amp;Residents'!$P$41:$R$47,3,FALSE))))</f>
        <v/>
      </c>
      <c r="O336" s="610" t="str">
        <f>IF(L336="", "", IF(E336="", "", IF('1B.TransitionalProg'!$H$8&gt;0,"",IF(L336&lt;M336,"overHOUSED?",IF(L336&gt;N336, "OVERcrowded?","")))))</f>
        <v/>
      </c>
      <c r="P336" s="623"/>
      <c r="Q336" s="154"/>
      <c r="R336" s="154"/>
      <c r="S336" s="156"/>
      <c r="T336" s="156"/>
      <c r="U336" s="156"/>
      <c r="V336" s="156"/>
      <c r="W336" s="1580" t="str">
        <f t="shared" ref="W336:W399" si="15">IF(U336&gt;0, IF(K336&gt;0, (U336+V336)*12/K336, ""),"")</f>
        <v/>
      </c>
      <c r="X336" s="155"/>
      <c r="Y336" s="156"/>
      <c r="Z336" s="233" t="str">
        <f t="shared" ref="Z336:Z399" si="16">IF(Y336="", "", IF(U336-Y336=0,"",IF(V336&gt;0,  Y336/(U336+V336-Y336),Y336/(U336-Y336))))</f>
        <v/>
      </c>
      <c r="AA336" s="1447">
        <f>VLOOKUP($C336,'3B.Demographic'!$C$15:$N$414,6,FALSE)</f>
        <v>0</v>
      </c>
      <c r="AB336" s="1447">
        <f>VLOOKUP($C336,'3B.Demographic'!$C$15:$N$414,7,FALSE)</f>
        <v>0</v>
      </c>
      <c r="AC336" s="1447">
        <f>VLOOKUP($C336,'3B.Demographic'!$C$15:$N$414,8,FALSE)</f>
        <v>0</v>
      </c>
      <c r="AD336" s="1447">
        <f>VLOOKUP($C336,'3B.Demographic'!$C$15:$N$414,9,FALSE)</f>
        <v>0</v>
      </c>
      <c r="AE336" s="1447">
        <f>VLOOKUP($C336,'3B.Demographic'!$C$15:$N$414,10,FALSE)</f>
        <v>0</v>
      </c>
      <c r="AF336" s="1475">
        <f>VLOOKUP($C336,'3B.Demographic'!$C$15:$N$414,11,FALSE)</f>
        <v>0</v>
      </c>
      <c r="AG336" s="1229">
        <f>VLOOKUP($C336,'3B.Demographic'!$C$15:$N$414,12,FALSE)</f>
        <v>0</v>
      </c>
    </row>
    <row r="337" spans="1:33" ht="20.100000000000001" customHeight="1">
      <c r="A337" s="217" t="str">
        <f>IF(D337&lt;&gt;"", ' 1A.Prop&amp;Residents'!$B$7, "")</f>
        <v/>
      </c>
      <c r="B337" s="217" t="str">
        <f t="shared" ref="B337:B400" si="17">IF(D337&lt;&gt;"", B$15, "")</f>
        <v/>
      </c>
      <c r="C337" s="34">
        <v>323</v>
      </c>
      <c r="D337" s="153"/>
      <c r="E337" s="154"/>
      <c r="F337" s="1775"/>
      <c r="G337" s="155"/>
      <c r="H337" s="156"/>
      <c r="I337" s="154"/>
      <c r="J337" s="157"/>
      <c r="K337" s="156"/>
      <c r="L337" s="154"/>
      <c r="M337" s="609" t="str">
        <f>IF(L337="","",IF(E337="","",IF('1B.TransitionalProg'!$H$8&gt;0,"",VLOOKUP($E337,' 1A.Prop&amp;Residents'!$P$41:$R$47,2,FALSE))))</f>
        <v/>
      </c>
      <c r="N337" s="609" t="str">
        <f>IF(L337="","",IF(E337="","",IF('1B.TransitionalProg'!$H$8&gt;0,"",VLOOKUP($E337,' 1A.Prop&amp;Residents'!$P$41:$R$47,3,FALSE))))</f>
        <v/>
      </c>
      <c r="O337" s="610" t="str">
        <f>IF(L337="", "", IF(E337="", "", IF('1B.TransitionalProg'!$H$8&gt;0,"",IF(L337&lt;M337,"overHOUSED?",IF(L337&gt;N337, "OVERcrowded?","")))))</f>
        <v/>
      </c>
      <c r="P337" s="623"/>
      <c r="Q337" s="154"/>
      <c r="R337" s="154"/>
      <c r="S337" s="156"/>
      <c r="T337" s="156"/>
      <c r="U337" s="156"/>
      <c r="V337" s="156"/>
      <c r="W337" s="1580" t="str">
        <f t="shared" si="15"/>
        <v/>
      </c>
      <c r="X337" s="155"/>
      <c r="Y337" s="156"/>
      <c r="Z337" s="233" t="str">
        <f t="shared" si="16"/>
        <v/>
      </c>
      <c r="AA337" s="1447">
        <f>VLOOKUP($C337,'3B.Demographic'!$C$15:$N$414,6,FALSE)</f>
        <v>0</v>
      </c>
      <c r="AB337" s="1447">
        <f>VLOOKUP($C337,'3B.Demographic'!$C$15:$N$414,7,FALSE)</f>
        <v>0</v>
      </c>
      <c r="AC337" s="1447">
        <f>VLOOKUP($C337,'3B.Demographic'!$C$15:$N$414,8,FALSE)</f>
        <v>0</v>
      </c>
      <c r="AD337" s="1447">
        <f>VLOOKUP($C337,'3B.Demographic'!$C$15:$N$414,9,FALSE)</f>
        <v>0</v>
      </c>
      <c r="AE337" s="1447">
        <f>VLOOKUP($C337,'3B.Demographic'!$C$15:$N$414,10,FALSE)</f>
        <v>0</v>
      </c>
      <c r="AF337" s="1475">
        <f>VLOOKUP($C337,'3B.Demographic'!$C$15:$N$414,11,FALSE)</f>
        <v>0</v>
      </c>
      <c r="AG337" s="1229">
        <f>VLOOKUP($C337,'3B.Demographic'!$C$15:$N$414,12,FALSE)</f>
        <v>0</v>
      </c>
    </row>
    <row r="338" spans="1:33" ht="20.100000000000001" customHeight="1">
      <c r="A338" s="217" t="str">
        <f>IF(D338&lt;&gt;"", ' 1A.Prop&amp;Residents'!$B$7, "")</f>
        <v/>
      </c>
      <c r="B338" s="217" t="str">
        <f t="shared" si="17"/>
        <v/>
      </c>
      <c r="C338" s="34">
        <v>324</v>
      </c>
      <c r="D338" s="153"/>
      <c r="E338" s="154"/>
      <c r="F338" s="1775"/>
      <c r="G338" s="155"/>
      <c r="H338" s="156"/>
      <c r="I338" s="154"/>
      <c r="J338" s="157"/>
      <c r="K338" s="156"/>
      <c r="L338" s="154"/>
      <c r="M338" s="609" t="str">
        <f>IF(L338="","",IF(E338="","",IF('1B.TransitionalProg'!$H$8&gt;0,"",VLOOKUP($E338,' 1A.Prop&amp;Residents'!$P$41:$R$47,2,FALSE))))</f>
        <v/>
      </c>
      <c r="N338" s="609" t="str">
        <f>IF(L338="","",IF(E338="","",IF('1B.TransitionalProg'!$H$8&gt;0,"",VLOOKUP($E338,' 1A.Prop&amp;Residents'!$P$41:$R$47,3,FALSE))))</f>
        <v/>
      </c>
      <c r="O338" s="610" t="str">
        <f>IF(L338="", "", IF(E338="", "", IF('1B.TransitionalProg'!$H$8&gt;0,"",IF(L338&lt;M338,"overHOUSED?",IF(L338&gt;N338, "OVERcrowded?","")))))</f>
        <v/>
      </c>
      <c r="P338" s="623"/>
      <c r="Q338" s="154"/>
      <c r="R338" s="154"/>
      <c r="S338" s="156"/>
      <c r="T338" s="156"/>
      <c r="U338" s="156"/>
      <c r="V338" s="156"/>
      <c r="W338" s="1580" t="str">
        <f t="shared" si="15"/>
        <v/>
      </c>
      <c r="X338" s="155"/>
      <c r="Y338" s="156"/>
      <c r="Z338" s="233" t="str">
        <f t="shared" si="16"/>
        <v/>
      </c>
      <c r="AA338" s="1447">
        <f>VLOOKUP($C338,'3B.Demographic'!$C$15:$N$414,6,FALSE)</f>
        <v>0</v>
      </c>
      <c r="AB338" s="1447">
        <f>VLOOKUP($C338,'3B.Demographic'!$C$15:$N$414,7,FALSE)</f>
        <v>0</v>
      </c>
      <c r="AC338" s="1447">
        <f>VLOOKUP($C338,'3B.Demographic'!$C$15:$N$414,8,FALSE)</f>
        <v>0</v>
      </c>
      <c r="AD338" s="1447">
        <f>VLOOKUP($C338,'3B.Demographic'!$C$15:$N$414,9,FALSE)</f>
        <v>0</v>
      </c>
      <c r="AE338" s="1447">
        <f>VLOOKUP($C338,'3B.Demographic'!$C$15:$N$414,10,FALSE)</f>
        <v>0</v>
      </c>
      <c r="AF338" s="1475">
        <f>VLOOKUP($C338,'3B.Demographic'!$C$15:$N$414,11,FALSE)</f>
        <v>0</v>
      </c>
      <c r="AG338" s="1229">
        <f>VLOOKUP($C338,'3B.Demographic'!$C$15:$N$414,12,FALSE)</f>
        <v>0</v>
      </c>
    </row>
    <row r="339" spans="1:33" ht="20.100000000000001" customHeight="1">
      <c r="A339" s="217" t="str">
        <f>IF(D339&lt;&gt;"", ' 1A.Prop&amp;Residents'!$B$7, "")</f>
        <v/>
      </c>
      <c r="B339" s="217" t="str">
        <f t="shared" si="17"/>
        <v/>
      </c>
      <c r="C339" s="34">
        <v>325</v>
      </c>
      <c r="D339" s="153"/>
      <c r="E339" s="154"/>
      <c r="F339" s="1775"/>
      <c r="G339" s="155"/>
      <c r="H339" s="156"/>
      <c r="I339" s="154"/>
      <c r="J339" s="157"/>
      <c r="K339" s="156"/>
      <c r="L339" s="154"/>
      <c r="M339" s="609" t="str">
        <f>IF(L339="","",IF(E339="","",IF('1B.TransitionalProg'!$H$8&gt;0,"",VLOOKUP($E339,' 1A.Prop&amp;Residents'!$P$41:$R$47,2,FALSE))))</f>
        <v/>
      </c>
      <c r="N339" s="609" t="str">
        <f>IF(L339="","",IF(E339="","",IF('1B.TransitionalProg'!$H$8&gt;0,"",VLOOKUP($E339,' 1A.Prop&amp;Residents'!$P$41:$R$47,3,FALSE))))</f>
        <v/>
      </c>
      <c r="O339" s="610" t="str">
        <f>IF(L339="", "", IF(E339="", "", IF('1B.TransitionalProg'!$H$8&gt;0,"",IF(L339&lt;M339,"overHOUSED?",IF(L339&gt;N339, "OVERcrowded?","")))))</f>
        <v/>
      </c>
      <c r="P339" s="623"/>
      <c r="Q339" s="154"/>
      <c r="R339" s="154"/>
      <c r="S339" s="156"/>
      <c r="T339" s="156"/>
      <c r="U339" s="156"/>
      <c r="V339" s="156"/>
      <c r="W339" s="1580" t="str">
        <f t="shared" si="15"/>
        <v/>
      </c>
      <c r="X339" s="155"/>
      <c r="Y339" s="156"/>
      <c r="Z339" s="233" t="str">
        <f t="shared" si="16"/>
        <v/>
      </c>
      <c r="AA339" s="1447">
        <f>VLOOKUP($C339,'3B.Demographic'!$C$15:$N$414,6,FALSE)</f>
        <v>0</v>
      </c>
      <c r="AB339" s="1447">
        <f>VLOOKUP($C339,'3B.Demographic'!$C$15:$N$414,7,FALSE)</f>
        <v>0</v>
      </c>
      <c r="AC339" s="1447">
        <f>VLOOKUP($C339,'3B.Demographic'!$C$15:$N$414,8,FALSE)</f>
        <v>0</v>
      </c>
      <c r="AD339" s="1447">
        <f>VLOOKUP($C339,'3B.Demographic'!$C$15:$N$414,9,FALSE)</f>
        <v>0</v>
      </c>
      <c r="AE339" s="1447">
        <f>VLOOKUP($C339,'3B.Demographic'!$C$15:$N$414,10,FALSE)</f>
        <v>0</v>
      </c>
      <c r="AF339" s="1475">
        <f>VLOOKUP($C339,'3B.Demographic'!$C$15:$N$414,11,FALSE)</f>
        <v>0</v>
      </c>
      <c r="AG339" s="1229">
        <f>VLOOKUP($C339,'3B.Demographic'!$C$15:$N$414,12,FALSE)</f>
        <v>0</v>
      </c>
    </row>
    <row r="340" spans="1:33" ht="20.100000000000001" customHeight="1">
      <c r="A340" s="217" t="str">
        <f>IF(D340&lt;&gt;"", ' 1A.Prop&amp;Residents'!$B$7, "")</f>
        <v/>
      </c>
      <c r="B340" s="217" t="str">
        <f t="shared" si="17"/>
        <v/>
      </c>
      <c r="C340" s="34">
        <v>326</v>
      </c>
      <c r="D340" s="153"/>
      <c r="E340" s="154"/>
      <c r="F340" s="1775"/>
      <c r="G340" s="155"/>
      <c r="H340" s="156"/>
      <c r="I340" s="154"/>
      <c r="J340" s="157"/>
      <c r="K340" s="156"/>
      <c r="L340" s="154"/>
      <c r="M340" s="609" t="str">
        <f>IF(L340="","",IF(E340="","",IF('1B.TransitionalProg'!$H$8&gt;0,"",VLOOKUP($E340,' 1A.Prop&amp;Residents'!$P$41:$R$47,2,FALSE))))</f>
        <v/>
      </c>
      <c r="N340" s="609" t="str">
        <f>IF(L340="","",IF(E340="","",IF('1B.TransitionalProg'!$H$8&gt;0,"",VLOOKUP($E340,' 1A.Prop&amp;Residents'!$P$41:$R$47,3,FALSE))))</f>
        <v/>
      </c>
      <c r="O340" s="610" t="str">
        <f>IF(L340="", "", IF(E340="", "", IF('1B.TransitionalProg'!$H$8&gt;0,"",IF(L340&lt;M340,"overHOUSED?",IF(L340&gt;N340, "OVERcrowded?","")))))</f>
        <v/>
      </c>
      <c r="P340" s="623"/>
      <c r="Q340" s="154"/>
      <c r="R340" s="154"/>
      <c r="S340" s="156"/>
      <c r="T340" s="156"/>
      <c r="U340" s="156"/>
      <c r="V340" s="156"/>
      <c r="W340" s="1580" t="str">
        <f t="shared" si="15"/>
        <v/>
      </c>
      <c r="X340" s="155"/>
      <c r="Y340" s="156"/>
      <c r="Z340" s="233" t="str">
        <f t="shared" si="16"/>
        <v/>
      </c>
      <c r="AA340" s="1447">
        <f>VLOOKUP($C340,'3B.Demographic'!$C$15:$N$414,6,FALSE)</f>
        <v>0</v>
      </c>
      <c r="AB340" s="1447">
        <f>VLOOKUP($C340,'3B.Demographic'!$C$15:$N$414,7,FALSE)</f>
        <v>0</v>
      </c>
      <c r="AC340" s="1447">
        <f>VLOOKUP($C340,'3B.Demographic'!$C$15:$N$414,8,FALSE)</f>
        <v>0</v>
      </c>
      <c r="AD340" s="1447">
        <f>VLOOKUP($C340,'3B.Demographic'!$C$15:$N$414,9,FALSE)</f>
        <v>0</v>
      </c>
      <c r="AE340" s="1447">
        <f>VLOOKUP($C340,'3B.Demographic'!$C$15:$N$414,10,FALSE)</f>
        <v>0</v>
      </c>
      <c r="AF340" s="1475">
        <f>VLOOKUP($C340,'3B.Demographic'!$C$15:$N$414,11,FALSE)</f>
        <v>0</v>
      </c>
      <c r="AG340" s="1229">
        <f>VLOOKUP($C340,'3B.Demographic'!$C$15:$N$414,12,FALSE)</f>
        <v>0</v>
      </c>
    </row>
    <row r="341" spans="1:33" ht="20.100000000000001" customHeight="1">
      <c r="A341" s="217" t="str">
        <f>IF(D341&lt;&gt;"", ' 1A.Prop&amp;Residents'!$B$7, "")</f>
        <v/>
      </c>
      <c r="B341" s="217" t="str">
        <f t="shared" si="17"/>
        <v/>
      </c>
      <c r="C341" s="34">
        <v>327</v>
      </c>
      <c r="D341" s="153"/>
      <c r="E341" s="154"/>
      <c r="F341" s="1775"/>
      <c r="G341" s="155"/>
      <c r="H341" s="156"/>
      <c r="I341" s="154"/>
      <c r="J341" s="157"/>
      <c r="K341" s="156"/>
      <c r="L341" s="154"/>
      <c r="M341" s="609" t="str">
        <f>IF(L341="","",IF(E341="","",IF('1B.TransitionalProg'!$H$8&gt;0,"",VLOOKUP($E341,' 1A.Prop&amp;Residents'!$P$41:$R$47,2,FALSE))))</f>
        <v/>
      </c>
      <c r="N341" s="609" t="str">
        <f>IF(L341="","",IF(E341="","",IF('1B.TransitionalProg'!$H$8&gt;0,"",VLOOKUP($E341,' 1A.Prop&amp;Residents'!$P$41:$R$47,3,FALSE))))</f>
        <v/>
      </c>
      <c r="O341" s="610" t="str">
        <f>IF(L341="", "", IF(E341="", "", IF('1B.TransitionalProg'!$H$8&gt;0,"",IF(L341&lt;M341,"overHOUSED?",IF(L341&gt;N341, "OVERcrowded?","")))))</f>
        <v/>
      </c>
      <c r="P341" s="623"/>
      <c r="Q341" s="154"/>
      <c r="R341" s="154"/>
      <c r="S341" s="156"/>
      <c r="T341" s="156"/>
      <c r="U341" s="156"/>
      <c r="V341" s="156"/>
      <c r="W341" s="1580" t="str">
        <f t="shared" si="15"/>
        <v/>
      </c>
      <c r="X341" s="155"/>
      <c r="Y341" s="156"/>
      <c r="Z341" s="233" t="str">
        <f t="shared" si="16"/>
        <v/>
      </c>
      <c r="AA341" s="1447">
        <f>VLOOKUP($C341,'3B.Demographic'!$C$15:$N$414,6,FALSE)</f>
        <v>0</v>
      </c>
      <c r="AB341" s="1447">
        <f>VLOOKUP($C341,'3B.Demographic'!$C$15:$N$414,7,FALSE)</f>
        <v>0</v>
      </c>
      <c r="AC341" s="1447">
        <f>VLOOKUP($C341,'3B.Demographic'!$C$15:$N$414,8,FALSE)</f>
        <v>0</v>
      </c>
      <c r="AD341" s="1447">
        <f>VLOOKUP($C341,'3B.Demographic'!$C$15:$N$414,9,FALSE)</f>
        <v>0</v>
      </c>
      <c r="AE341" s="1447">
        <f>VLOOKUP($C341,'3B.Demographic'!$C$15:$N$414,10,FALSE)</f>
        <v>0</v>
      </c>
      <c r="AF341" s="1475">
        <f>VLOOKUP($C341,'3B.Demographic'!$C$15:$N$414,11,FALSE)</f>
        <v>0</v>
      </c>
      <c r="AG341" s="1229">
        <f>VLOOKUP($C341,'3B.Demographic'!$C$15:$N$414,12,FALSE)</f>
        <v>0</v>
      </c>
    </row>
    <row r="342" spans="1:33" ht="20.100000000000001" customHeight="1">
      <c r="A342" s="217" t="str">
        <f>IF(D342&lt;&gt;"", ' 1A.Prop&amp;Residents'!$B$7, "")</f>
        <v/>
      </c>
      <c r="B342" s="217" t="str">
        <f t="shared" si="17"/>
        <v/>
      </c>
      <c r="C342" s="34">
        <v>328</v>
      </c>
      <c r="D342" s="153"/>
      <c r="E342" s="154"/>
      <c r="F342" s="1775"/>
      <c r="G342" s="155"/>
      <c r="H342" s="156"/>
      <c r="I342" s="154"/>
      <c r="J342" s="157"/>
      <c r="K342" s="156"/>
      <c r="L342" s="154"/>
      <c r="M342" s="609" t="str">
        <f>IF(L342="","",IF(E342="","",IF('1B.TransitionalProg'!$H$8&gt;0,"",VLOOKUP($E342,' 1A.Prop&amp;Residents'!$P$41:$R$47,2,FALSE))))</f>
        <v/>
      </c>
      <c r="N342" s="609" t="str">
        <f>IF(L342="","",IF(E342="","",IF('1B.TransitionalProg'!$H$8&gt;0,"",VLOOKUP($E342,' 1A.Prop&amp;Residents'!$P$41:$R$47,3,FALSE))))</f>
        <v/>
      </c>
      <c r="O342" s="610" t="str">
        <f>IF(L342="", "", IF(E342="", "", IF('1B.TransitionalProg'!$H$8&gt;0,"",IF(L342&lt;M342,"overHOUSED?",IF(L342&gt;N342, "OVERcrowded?","")))))</f>
        <v/>
      </c>
      <c r="P342" s="623"/>
      <c r="Q342" s="154"/>
      <c r="R342" s="154"/>
      <c r="S342" s="156"/>
      <c r="T342" s="156"/>
      <c r="U342" s="156"/>
      <c r="V342" s="156"/>
      <c r="W342" s="1580" t="str">
        <f t="shared" si="15"/>
        <v/>
      </c>
      <c r="X342" s="155"/>
      <c r="Y342" s="156"/>
      <c r="Z342" s="233" t="str">
        <f t="shared" si="16"/>
        <v/>
      </c>
      <c r="AA342" s="1447">
        <f>VLOOKUP($C342,'3B.Demographic'!$C$15:$N$414,6,FALSE)</f>
        <v>0</v>
      </c>
      <c r="AB342" s="1447">
        <f>VLOOKUP($C342,'3B.Demographic'!$C$15:$N$414,7,FALSE)</f>
        <v>0</v>
      </c>
      <c r="AC342" s="1447">
        <f>VLOOKUP($C342,'3B.Demographic'!$C$15:$N$414,8,FALSE)</f>
        <v>0</v>
      </c>
      <c r="AD342" s="1447">
        <f>VLOOKUP($C342,'3B.Demographic'!$C$15:$N$414,9,FALSE)</f>
        <v>0</v>
      </c>
      <c r="AE342" s="1447">
        <f>VLOOKUP($C342,'3B.Demographic'!$C$15:$N$414,10,FALSE)</f>
        <v>0</v>
      </c>
      <c r="AF342" s="1475">
        <f>VLOOKUP($C342,'3B.Demographic'!$C$15:$N$414,11,FALSE)</f>
        <v>0</v>
      </c>
      <c r="AG342" s="1229">
        <f>VLOOKUP($C342,'3B.Demographic'!$C$15:$N$414,12,FALSE)</f>
        <v>0</v>
      </c>
    </row>
    <row r="343" spans="1:33" ht="20.100000000000001" customHeight="1">
      <c r="A343" s="217" t="str">
        <f>IF(D343&lt;&gt;"", ' 1A.Prop&amp;Residents'!$B$7, "")</f>
        <v/>
      </c>
      <c r="B343" s="217" t="str">
        <f t="shared" si="17"/>
        <v/>
      </c>
      <c r="C343" s="34">
        <v>329</v>
      </c>
      <c r="D343" s="153"/>
      <c r="E343" s="154"/>
      <c r="F343" s="1775"/>
      <c r="G343" s="155"/>
      <c r="H343" s="156"/>
      <c r="I343" s="154"/>
      <c r="J343" s="157"/>
      <c r="K343" s="156"/>
      <c r="L343" s="154"/>
      <c r="M343" s="609" t="str">
        <f>IF(L343="","",IF(E343="","",IF('1B.TransitionalProg'!$H$8&gt;0,"",VLOOKUP($E343,' 1A.Prop&amp;Residents'!$P$41:$R$47,2,FALSE))))</f>
        <v/>
      </c>
      <c r="N343" s="609" t="str">
        <f>IF(L343="","",IF(E343="","",IF('1B.TransitionalProg'!$H$8&gt;0,"",VLOOKUP($E343,' 1A.Prop&amp;Residents'!$P$41:$R$47,3,FALSE))))</f>
        <v/>
      </c>
      <c r="O343" s="610" t="str">
        <f>IF(L343="", "", IF(E343="", "", IF('1B.TransitionalProg'!$H$8&gt;0,"",IF(L343&lt;M343,"overHOUSED?",IF(L343&gt;N343, "OVERcrowded?","")))))</f>
        <v/>
      </c>
      <c r="P343" s="623"/>
      <c r="Q343" s="154"/>
      <c r="R343" s="154"/>
      <c r="S343" s="156"/>
      <c r="T343" s="156"/>
      <c r="U343" s="156"/>
      <c r="V343" s="156"/>
      <c r="W343" s="1580" t="str">
        <f t="shared" si="15"/>
        <v/>
      </c>
      <c r="X343" s="155"/>
      <c r="Y343" s="156"/>
      <c r="Z343" s="233" t="str">
        <f t="shared" si="16"/>
        <v/>
      </c>
      <c r="AA343" s="1447">
        <f>VLOOKUP($C343,'3B.Demographic'!$C$15:$N$414,6,FALSE)</f>
        <v>0</v>
      </c>
      <c r="AB343" s="1447">
        <f>VLOOKUP($C343,'3B.Demographic'!$C$15:$N$414,7,FALSE)</f>
        <v>0</v>
      </c>
      <c r="AC343" s="1447">
        <f>VLOOKUP($C343,'3B.Demographic'!$C$15:$N$414,8,FALSE)</f>
        <v>0</v>
      </c>
      <c r="AD343" s="1447">
        <f>VLOOKUP($C343,'3B.Demographic'!$C$15:$N$414,9,FALSE)</f>
        <v>0</v>
      </c>
      <c r="AE343" s="1447">
        <f>VLOOKUP($C343,'3B.Demographic'!$C$15:$N$414,10,FALSE)</f>
        <v>0</v>
      </c>
      <c r="AF343" s="1475">
        <f>VLOOKUP($C343,'3B.Demographic'!$C$15:$N$414,11,FALSE)</f>
        <v>0</v>
      </c>
      <c r="AG343" s="1229">
        <f>VLOOKUP($C343,'3B.Demographic'!$C$15:$N$414,12,FALSE)</f>
        <v>0</v>
      </c>
    </row>
    <row r="344" spans="1:33" ht="20.100000000000001" customHeight="1">
      <c r="A344" s="217" t="str">
        <f>IF(D344&lt;&gt;"", ' 1A.Prop&amp;Residents'!$B$7, "")</f>
        <v/>
      </c>
      <c r="B344" s="217" t="str">
        <f t="shared" si="17"/>
        <v/>
      </c>
      <c r="C344" s="34">
        <v>330</v>
      </c>
      <c r="D344" s="153"/>
      <c r="E344" s="154"/>
      <c r="F344" s="1775"/>
      <c r="G344" s="155"/>
      <c r="H344" s="156"/>
      <c r="I344" s="154"/>
      <c r="J344" s="157"/>
      <c r="K344" s="156"/>
      <c r="L344" s="154"/>
      <c r="M344" s="609" t="str">
        <f>IF(L344="","",IF(E344="","",IF('1B.TransitionalProg'!$H$8&gt;0,"",VLOOKUP($E344,' 1A.Prop&amp;Residents'!$P$41:$R$47,2,FALSE))))</f>
        <v/>
      </c>
      <c r="N344" s="609" t="str">
        <f>IF(L344="","",IF(E344="","",IF('1B.TransitionalProg'!$H$8&gt;0,"",VLOOKUP($E344,' 1A.Prop&amp;Residents'!$P$41:$R$47,3,FALSE))))</f>
        <v/>
      </c>
      <c r="O344" s="610" t="str">
        <f>IF(L344="", "", IF(E344="", "", IF('1B.TransitionalProg'!$H$8&gt;0,"",IF(L344&lt;M344,"overHOUSED?",IF(L344&gt;N344, "OVERcrowded?","")))))</f>
        <v/>
      </c>
      <c r="P344" s="623"/>
      <c r="Q344" s="154"/>
      <c r="R344" s="154"/>
      <c r="S344" s="156"/>
      <c r="T344" s="156"/>
      <c r="U344" s="156"/>
      <c r="V344" s="156"/>
      <c r="W344" s="1580" t="str">
        <f t="shared" si="15"/>
        <v/>
      </c>
      <c r="X344" s="155"/>
      <c r="Y344" s="156"/>
      <c r="Z344" s="233" t="str">
        <f t="shared" si="16"/>
        <v/>
      </c>
      <c r="AA344" s="1447">
        <f>VLOOKUP($C344,'3B.Demographic'!$C$15:$N$414,6,FALSE)</f>
        <v>0</v>
      </c>
      <c r="AB344" s="1447">
        <f>VLOOKUP($C344,'3B.Demographic'!$C$15:$N$414,7,FALSE)</f>
        <v>0</v>
      </c>
      <c r="AC344" s="1447">
        <f>VLOOKUP($C344,'3B.Demographic'!$C$15:$N$414,8,FALSE)</f>
        <v>0</v>
      </c>
      <c r="AD344" s="1447">
        <f>VLOOKUP($C344,'3B.Demographic'!$C$15:$N$414,9,FALSE)</f>
        <v>0</v>
      </c>
      <c r="AE344" s="1447">
        <f>VLOOKUP($C344,'3B.Demographic'!$C$15:$N$414,10,FALSE)</f>
        <v>0</v>
      </c>
      <c r="AF344" s="1475">
        <f>VLOOKUP($C344,'3B.Demographic'!$C$15:$N$414,11,FALSE)</f>
        <v>0</v>
      </c>
      <c r="AG344" s="1229">
        <f>VLOOKUP($C344,'3B.Demographic'!$C$15:$N$414,12,FALSE)</f>
        <v>0</v>
      </c>
    </row>
    <row r="345" spans="1:33" ht="20.100000000000001" customHeight="1">
      <c r="A345" s="217" t="str">
        <f>IF(D345&lt;&gt;"", ' 1A.Prop&amp;Residents'!$B$7, "")</f>
        <v/>
      </c>
      <c r="B345" s="217" t="str">
        <f t="shared" si="17"/>
        <v/>
      </c>
      <c r="C345" s="34">
        <v>331</v>
      </c>
      <c r="D345" s="153"/>
      <c r="E345" s="154"/>
      <c r="F345" s="1775"/>
      <c r="G345" s="155"/>
      <c r="H345" s="156"/>
      <c r="I345" s="154"/>
      <c r="J345" s="157"/>
      <c r="K345" s="156"/>
      <c r="L345" s="154"/>
      <c r="M345" s="609" t="str">
        <f>IF(L345="","",IF(E345="","",IF('1B.TransitionalProg'!$H$8&gt;0,"",VLOOKUP($E345,' 1A.Prop&amp;Residents'!$P$41:$R$47,2,FALSE))))</f>
        <v/>
      </c>
      <c r="N345" s="609" t="str">
        <f>IF(L345="","",IF(E345="","",IF('1B.TransitionalProg'!$H$8&gt;0,"",VLOOKUP($E345,' 1A.Prop&amp;Residents'!$P$41:$R$47,3,FALSE))))</f>
        <v/>
      </c>
      <c r="O345" s="610" t="str">
        <f>IF(L345="", "", IF(E345="", "", IF('1B.TransitionalProg'!$H$8&gt;0,"",IF(L345&lt;M345,"overHOUSED?",IF(L345&gt;N345, "OVERcrowded?","")))))</f>
        <v/>
      </c>
      <c r="P345" s="623"/>
      <c r="Q345" s="154"/>
      <c r="R345" s="154"/>
      <c r="S345" s="156"/>
      <c r="T345" s="156"/>
      <c r="U345" s="156"/>
      <c r="V345" s="156"/>
      <c r="W345" s="1580" t="str">
        <f t="shared" si="15"/>
        <v/>
      </c>
      <c r="X345" s="155"/>
      <c r="Y345" s="156"/>
      <c r="Z345" s="233" t="str">
        <f t="shared" si="16"/>
        <v/>
      </c>
      <c r="AA345" s="1447">
        <f>VLOOKUP($C345,'3B.Demographic'!$C$15:$N$414,6,FALSE)</f>
        <v>0</v>
      </c>
      <c r="AB345" s="1447">
        <f>VLOOKUP($C345,'3B.Demographic'!$C$15:$N$414,7,FALSE)</f>
        <v>0</v>
      </c>
      <c r="AC345" s="1447">
        <f>VLOOKUP($C345,'3B.Demographic'!$C$15:$N$414,8,FALSE)</f>
        <v>0</v>
      </c>
      <c r="AD345" s="1447">
        <f>VLOOKUP($C345,'3B.Demographic'!$C$15:$N$414,9,FALSE)</f>
        <v>0</v>
      </c>
      <c r="AE345" s="1447">
        <f>VLOOKUP($C345,'3B.Demographic'!$C$15:$N$414,10,FALSE)</f>
        <v>0</v>
      </c>
      <c r="AF345" s="1475">
        <f>VLOOKUP($C345,'3B.Demographic'!$C$15:$N$414,11,FALSE)</f>
        <v>0</v>
      </c>
      <c r="AG345" s="1229">
        <f>VLOOKUP($C345,'3B.Demographic'!$C$15:$N$414,12,FALSE)</f>
        <v>0</v>
      </c>
    </row>
    <row r="346" spans="1:33" ht="20.100000000000001" customHeight="1">
      <c r="A346" s="217" t="str">
        <f>IF(D346&lt;&gt;"", ' 1A.Prop&amp;Residents'!$B$7, "")</f>
        <v/>
      </c>
      <c r="B346" s="217" t="str">
        <f t="shared" si="17"/>
        <v/>
      </c>
      <c r="C346" s="34">
        <v>332</v>
      </c>
      <c r="D346" s="153"/>
      <c r="E346" s="154"/>
      <c r="F346" s="1775"/>
      <c r="G346" s="155"/>
      <c r="H346" s="156"/>
      <c r="I346" s="154"/>
      <c r="J346" s="157"/>
      <c r="K346" s="156"/>
      <c r="L346" s="154"/>
      <c r="M346" s="609" t="str">
        <f>IF(L346="","",IF(E346="","",IF('1B.TransitionalProg'!$H$8&gt;0,"",VLOOKUP($E346,' 1A.Prop&amp;Residents'!$P$41:$R$47,2,FALSE))))</f>
        <v/>
      </c>
      <c r="N346" s="609" t="str">
        <f>IF(L346="","",IF(E346="","",IF('1B.TransitionalProg'!$H$8&gt;0,"",VLOOKUP($E346,' 1A.Prop&amp;Residents'!$P$41:$R$47,3,FALSE))))</f>
        <v/>
      </c>
      <c r="O346" s="610" t="str">
        <f>IF(L346="", "", IF(E346="", "", IF('1B.TransitionalProg'!$H$8&gt;0,"",IF(L346&lt;M346,"overHOUSED?",IF(L346&gt;N346, "OVERcrowded?","")))))</f>
        <v/>
      </c>
      <c r="P346" s="623"/>
      <c r="Q346" s="154"/>
      <c r="R346" s="154"/>
      <c r="S346" s="156"/>
      <c r="T346" s="156"/>
      <c r="U346" s="156"/>
      <c r="V346" s="156"/>
      <c r="W346" s="1580" t="str">
        <f t="shared" si="15"/>
        <v/>
      </c>
      <c r="X346" s="155"/>
      <c r="Y346" s="156"/>
      <c r="Z346" s="233" t="str">
        <f t="shared" si="16"/>
        <v/>
      </c>
      <c r="AA346" s="1447">
        <f>VLOOKUP($C346,'3B.Demographic'!$C$15:$N$414,6,FALSE)</f>
        <v>0</v>
      </c>
      <c r="AB346" s="1447">
        <f>VLOOKUP($C346,'3B.Demographic'!$C$15:$N$414,7,FALSE)</f>
        <v>0</v>
      </c>
      <c r="AC346" s="1447">
        <f>VLOOKUP($C346,'3B.Demographic'!$C$15:$N$414,8,FALSE)</f>
        <v>0</v>
      </c>
      <c r="AD346" s="1447">
        <f>VLOOKUP($C346,'3B.Demographic'!$C$15:$N$414,9,FALSE)</f>
        <v>0</v>
      </c>
      <c r="AE346" s="1447">
        <f>VLOOKUP($C346,'3B.Demographic'!$C$15:$N$414,10,FALSE)</f>
        <v>0</v>
      </c>
      <c r="AF346" s="1475">
        <f>VLOOKUP($C346,'3B.Demographic'!$C$15:$N$414,11,FALSE)</f>
        <v>0</v>
      </c>
      <c r="AG346" s="1229">
        <f>VLOOKUP($C346,'3B.Demographic'!$C$15:$N$414,12,FALSE)</f>
        <v>0</v>
      </c>
    </row>
    <row r="347" spans="1:33" ht="20.100000000000001" customHeight="1">
      <c r="A347" s="217" t="str">
        <f>IF(D347&lt;&gt;"", ' 1A.Prop&amp;Residents'!$B$7, "")</f>
        <v/>
      </c>
      <c r="B347" s="217" t="str">
        <f t="shared" si="17"/>
        <v/>
      </c>
      <c r="C347" s="34">
        <v>333</v>
      </c>
      <c r="D347" s="153"/>
      <c r="E347" s="154"/>
      <c r="F347" s="1775"/>
      <c r="G347" s="155"/>
      <c r="H347" s="156"/>
      <c r="I347" s="154"/>
      <c r="J347" s="157"/>
      <c r="K347" s="156"/>
      <c r="L347" s="154"/>
      <c r="M347" s="609" t="str">
        <f>IF(L347="","",IF(E347="","",IF('1B.TransitionalProg'!$H$8&gt;0,"",VLOOKUP($E347,' 1A.Prop&amp;Residents'!$P$41:$R$47,2,FALSE))))</f>
        <v/>
      </c>
      <c r="N347" s="609" t="str">
        <f>IF(L347="","",IF(E347="","",IF('1B.TransitionalProg'!$H$8&gt;0,"",VLOOKUP($E347,' 1A.Prop&amp;Residents'!$P$41:$R$47,3,FALSE))))</f>
        <v/>
      </c>
      <c r="O347" s="610" t="str">
        <f>IF(L347="", "", IF(E347="", "", IF('1B.TransitionalProg'!$H$8&gt;0,"",IF(L347&lt;M347,"overHOUSED?",IF(L347&gt;N347, "OVERcrowded?","")))))</f>
        <v/>
      </c>
      <c r="P347" s="623"/>
      <c r="Q347" s="154"/>
      <c r="R347" s="154"/>
      <c r="S347" s="156"/>
      <c r="T347" s="156"/>
      <c r="U347" s="156"/>
      <c r="V347" s="156"/>
      <c r="W347" s="1580" t="str">
        <f t="shared" si="15"/>
        <v/>
      </c>
      <c r="X347" s="155"/>
      <c r="Y347" s="156"/>
      <c r="Z347" s="233" t="str">
        <f t="shared" si="16"/>
        <v/>
      </c>
      <c r="AA347" s="1447">
        <f>VLOOKUP($C347,'3B.Demographic'!$C$15:$N$414,6,FALSE)</f>
        <v>0</v>
      </c>
      <c r="AB347" s="1447">
        <f>VLOOKUP($C347,'3B.Demographic'!$C$15:$N$414,7,FALSE)</f>
        <v>0</v>
      </c>
      <c r="AC347" s="1447">
        <f>VLOOKUP($C347,'3B.Demographic'!$C$15:$N$414,8,FALSE)</f>
        <v>0</v>
      </c>
      <c r="AD347" s="1447">
        <f>VLOOKUP($C347,'3B.Demographic'!$C$15:$N$414,9,FALSE)</f>
        <v>0</v>
      </c>
      <c r="AE347" s="1447">
        <f>VLOOKUP($C347,'3B.Demographic'!$C$15:$N$414,10,FALSE)</f>
        <v>0</v>
      </c>
      <c r="AF347" s="1475">
        <f>VLOOKUP($C347,'3B.Demographic'!$C$15:$N$414,11,FALSE)</f>
        <v>0</v>
      </c>
      <c r="AG347" s="1229">
        <f>VLOOKUP($C347,'3B.Demographic'!$C$15:$N$414,12,FALSE)</f>
        <v>0</v>
      </c>
    </row>
    <row r="348" spans="1:33" ht="20.100000000000001" customHeight="1">
      <c r="A348" s="217" t="str">
        <f>IF(D348&lt;&gt;"", ' 1A.Prop&amp;Residents'!$B$7, "")</f>
        <v/>
      </c>
      <c r="B348" s="217" t="str">
        <f t="shared" si="17"/>
        <v/>
      </c>
      <c r="C348" s="34">
        <v>334</v>
      </c>
      <c r="D348" s="153"/>
      <c r="E348" s="154"/>
      <c r="F348" s="1775"/>
      <c r="G348" s="155"/>
      <c r="H348" s="156"/>
      <c r="I348" s="154"/>
      <c r="J348" s="157"/>
      <c r="K348" s="156"/>
      <c r="L348" s="154"/>
      <c r="M348" s="609" t="str">
        <f>IF(L348="","",IF(E348="","",IF('1B.TransitionalProg'!$H$8&gt;0,"",VLOOKUP($E348,' 1A.Prop&amp;Residents'!$P$41:$R$47,2,FALSE))))</f>
        <v/>
      </c>
      <c r="N348" s="609" t="str">
        <f>IF(L348="","",IF(E348="","",IF('1B.TransitionalProg'!$H$8&gt;0,"",VLOOKUP($E348,' 1A.Prop&amp;Residents'!$P$41:$R$47,3,FALSE))))</f>
        <v/>
      </c>
      <c r="O348" s="610" t="str">
        <f>IF(L348="", "", IF(E348="", "", IF('1B.TransitionalProg'!$H$8&gt;0,"",IF(L348&lt;M348,"overHOUSED?",IF(L348&gt;N348, "OVERcrowded?","")))))</f>
        <v/>
      </c>
      <c r="P348" s="623"/>
      <c r="Q348" s="154"/>
      <c r="R348" s="154"/>
      <c r="S348" s="156"/>
      <c r="T348" s="156"/>
      <c r="U348" s="156"/>
      <c r="V348" s="156"/>
      <c r="W348" s="1580" t="str">
        <f t="shared" si="15"/>
        <v/>
      </c>
      <c r="X348" s="155"/>
      <c r="Y348" s="156"/>
      <c r="Z348" s="233" t="str">
        <f t="shared" si="16"/>
        <v/>
      </c>
      <c r="AA348" s="1447">
        <f>VLOOKUP($C348,'3B.Demographic'!$C$15:$N$414,6,FALSE)</f>
        <v>0</v>
      </c>
      <c r="AB348" s="1447">
        <f>VLOOKUP($C348,'3B.Demographic'!$C$15:$N$414,7,FALSE)</f>
        <v>0</v>
      </c>
      <c r="AC348" s="1447">
        <f>VLOOKUP($C348,'3B.Demographic'!$C$15:$N$414,8,FALSE)</f>
        <v>0</v>
      </c>
      <c r="AD348" s="1447">
        <f>VLOOKUP($C348,'3B.Demographic'!$C$15:$N$414,9,FALSE)</f>
        <v>0</v>
      </c>
      <c r="AE348" s="1447">
        <f>VLOOKUP($C348,'3B.Demographic'!$C$15:$N$414,10,FALSE)</f>
        <v>0</v>
      </c>
      <c r="AF348" s="1475">
        <f>VLOOKUP($C348,'3B.Demographic'!$C$15:$N$414,11,FALSE)</f>
        <v>0</v>
      </c>
      <c r="AG348" s="1229">
        <f>VLOOKUP($C348,'3B.Demographic'!$C$15:$N$414,12,FALSE)</f>
        <v>0</v>
      </c>
    </row>
    <row r="349" spans="1:33" ht="20.100000000000001" customHeight="1">
      <c r="A349" s="217" t="str">
        <f>IF(D349&lt;&gt;"", ' 1A.Prop&amp;Residents'!$B$7, "")</f>
        <v/>
      </c>
      <c r="B349" s="217" t="str">
        <f t="shared" si="17"/>
        <v/>
      </c>
      <c r="C349" s="34">
        <v>335</v>
      </c>
      <c r="D349" s="153"/>
      <c r="E349" s="154"/>
      <c r="F349" s="1775"/>
      <c r="G349" s="155"/>
      <c r="H349" s="156"/>
      <c r="I349" s="154"/>
      <c r="J349" s="157"/>
      <c r="K349" s="156"/>
      <c r="L349" s="154"/>
      <c r="M349" s="609" t="str">
        <f>IF(L349="","",IF(E349="","",IF('1B.TransitionalProg'!$H$8&gt;0,"",VLOOKUP($E349,' 1A.Prop&amp;Residents'!$P$41:$R$47,2,FALSE))))</f>
        <v/>
      </c>
      <c r="N349" s="609" t="str">
        <f>IF(L349="","",IF(E349="","",IF('1B.TransitionalProg'!$H$8&gt;0,"",VLOOKUP($E349,' 1A.Prop&amp;Residents'!$P$41:$R$47,3,FALSE))))</f>
        <v/>
      </c>
      <c r="O349" s="610" t="str">
        <f>IF(L349="", "", IF(E349="", "", IF('1B.TransitionalProg'!$H$8&gt;0,"",IF(L349&lt;M349,"overHOUSED?",IF(L349&gt;N349, "OVERcrowded?","")))))</f>
        <v/>
      </c>
      <c r="P349" s="623"/>
      <c r="Q349" s="154"/>
      <c r="R349" s="154"/>
      <c r="S349" s="156"/>
      <c r="T349" s="156"/>
      <c r="U349" s="156"/>
      <c r="V349" s="156"/>
      <c r="W349" s="1580" t="str">
        <f t="shared" si="15"/>
        <v/>
      </c>
      <c r="X349" s="155"/>
      <c r="Y349" s="156"/>
      <c r="Z349" s="233" t="str">
        <f t="shared" si="16"/>
        <v/>
      </c>
      <c r="AA349" s="1447">
        <f>VLOOKUP($C349,'3B.Demographic'!$C$15:$N$414,6,FALSE)</f>
        <v>0</v>
      </c>
      <c r="AB349" s="1447">
        <f>VLOOKUP($C349,'3B.Demographic'!$C$15:$N$414,7,FALSE)</f>
        <v>0</v>
      </c>
      <c r="AC349" s="1447">
        <f>VLOOKUP($C349,'3B.Demographic'!$C$15:$N$414,8,FALSE)</f>
        <v>0</v>
      </c>
      <c r="AD349" s="1447">
        <f>VLOOKUP($C349,'3B.Demographic'!$C$15:$N$414,9,FALSE)</f>
        <v>0</v>
      </c>
      <c r="AE349" s="1447">
        <f>VLOOKUP($C349,'3B.Demographic'!$C$15:$N$414,10,FALSE)</f>
        <v>0</v>
      </c>
      <c r="AF349" s="1475">
        <f>VLOOKUP($C349,'3B.Demographic'!$C$15:$N$414,11,FALSE)</f>
        <v>0</v>
      </c>
      <c r="AG349" s="1229">
        <f>VLOOKUP($C349,'3B.Demographic'!$C$15:$N$414,12,FALSE)</f>
        <v>0</v>
      </c>
    </row>
    <row r="350" spans="1:33" ht="20.100000000000001" customHeight="1">
      <c r="A350" s="217" t="str">
        <f>IF(D350&lt;&gt;"", ' 1A.Prop&amp;Residents'!$B$7, "")</f>
        <v/>
      </c>
      <c r="B350" s="217" t="str">
        <f t="shared" si="17"/>
        <v/>
      </c>
      <c r="C350" s="34">
        <v>336</v>
      </c>
      <c r="D350" s="153"/>
      <c r="E350" s="154"/>
      <c r="F350" s="1775"/>
      <c r="G350" s="155"/>
      <c r="H350" s="156"/>
      <c r="I350" s="154"/>
      <c r="J350" s="157"/>
      <c r="K350" s="156"/>
      <c r="L350" s="154"/>
      <c r="M350" s="609" t="str">
        <f>IF(L350="","",IF(E350="","",IF('1B.TransitionalProg'!$H$8&gt;0,"",VLOOKUP($E350,' 1A.Prop&amp;Residents'!$P$41:$R$47,2,FALSE))))</f>
        <v/>
      </c>
      <c r="N350" s="609" t="str">
        <f>IF(L350="","",IF(E350="","",IF('1B.TransitionalProg'!$H$8&gt;0,"",VLOOKUP($E350,' 1A.Prop&amp;Residents'!$P$41:$R$47,3,FALSE))))</f>
        <v/>
      </c>
      <c r="O350" s="610" t="str">
        <f>IF(L350="", "", IF(E350="", "", IF('1B.TransitionalProg'!$H$8&gt;0,"",IF(L350&lt;M350,"overHOUSED?",IF(L350&gt;N350, "OVERcrowded?","")))))</f>
        <v/>
      </c>
      <c r="P350" s="623"/>
      <c r="Q350" s="154"/>
      <c r="R350" s="154"/>
      <c r="S350" s="156"/>
      <c r="T350" s="156"/>
      <c r="U350" s="156"/>
      <c r="V350" s="156"/>
      <c r="W350" s="1580" t="str">
        <f t="shared" si="15"/>
        <v/>
      </c>
      <c r="X350" s="155"/>
      <c r="Y350" s="156"/>
      <c r="Z350" s="233" t="str">
        <f t="shared" si="16"/>
        <v/>
      </c>
      <c r="AA350" s="1447">
        <f>VLOOKUP($C350,'3B.Demographic'!$C$15:$N$414,6,FALSE)</f>
        <v>0</v>
      </c>
      <c r="AB350" s="1447">
        <f>VLOOKUP($C350,'3B.Demographic'!$C$15:$N$414,7,FALSE)</f>
        <v>0</v>
      </c>
      <c r="AC350" s="1447">
        <f>VLOOKUP($C350,'3B.Demographic'!$C$15:$N$414,8,FALSE)</f>
        <v>0</v>
      </c>
      <c r="AD350" s="1447">
        <f>VLOOKUP($C350,'3B.Demographic'!$C$15:$N$414,9,FALSE)</f>
        <v>0</v>
      </c>
      <c r="AE350" s="1447">
        <f>VLOOKUP($C350,'3B.Demographic'!$C$15:$N$414,10,FALSE)</f>
        <v>0</v>
      </c>
      <c r="AF350" s="1475">
        <f>VLOOKUP($C350,'3B.Demographic'!$C$15:$N$414,11,FALSE)</f>
        <v>0</v>
      </c>
      <c r="AG350" s="1229">
        <f>VLOOKUP($C350,'3B.Demographic'!$C$15:$N$414,12,FALSE)</f>
        <v>0</v>
      </c>
    </row>
    <row r="351" spans="1:33" ht="20.100000000000001" customHeight="1">
      <c r="A351" s="217" t="str">
        <f>IF(D351&lt;&gt;"", ' 1A.Prop&amp;Residents'!$B$7, "")</f>
        <v/>
      </c>
      <c r="B351" s="217" t="str">
        <f t="shared" si="17"/>
        <v/>
      </c>
      <c r="C351" s="34">
        <v>337</v>
      </c>
      <c r="D351" s="153"/>
      <c r="E351" s="154"/>
      <c r="F351" s="1775"/>
      <c r="G351" s="155"/>
      <c r="H351" s="156"/>
      <c r="I351" s="154"/>
      <c r="J351" s="157"/>
      <c r="K351" s="156"/>
      <c r="L351" s="154"/>
      <c r="M351" s="609" t="str">
        <f>IF(L351="","",IF(E351="","",IF('1B.TransitionalProg'!$H$8&gt;0,"",VLOOKUP($E351,' 1A.Prop&amp;Residents'!$P$41:$R$47,2,FALSE))))</f>
        <v/>
      </c>
      <c r="N351" s="609" t="str">
        <f>IF(L351="","",IF(E351="","",IF('1B.TransitionalProg'!$H$8&gt;0,"",VLOOKUP($E351,' 1A.Prop&amp;Residents'!$P$41:$R$47,3,FALSE))))</f>
        <v/>
      </c>
      <c r="O351" s="610" t="str">
        <f>IF(L351="", "", IF(E351="", "", IF('1B.TransitionalProg'!$H$8&gt;0,"",IF(L351&lt;M351,"overHOUSED?",IF(L351&gt;N351, "OVERcrowded?","")))))</f>
        <v/>
      </c>
      <c r="P351" s="623"/>
      <c r="Q351" s="154"/>
      <c r="R351" s="154"/>
      <c r="S351" s="156"/>
      <c r="T351" s="156"/>
      <c r="U351" s="156"/>
      <c r="V351" s="156"/>
      <c r="W351" s="1580" t="str">
        <f t="shared" si="15"/>
        <v/>
      </c>
      <c r="X351" s="155"/>
      <c r="Y351" s="156"/>
      <c r="Z351" s="233" t="str">
        <f t="shared" si="16"/>
        <v/>
      </c>
      <c r="AA351" s="1447">
        <f>VLOOKUP($C351,'3B.Demographic'!$C$15:$N$414,6,FALSE)</f>
        <v>0</v>
      </c>
      <c r="AB351" s="1447">
        <f>VLOOKUP($C351,'3B.Demographic'!$C$15:$N$414,7,FALSE)</f>
        <v>0</v>
      </c>
      <c r="AC351" s="1447">
        <f>VLOOKUP($C351,'3B.Demographic'!$C$15:$N$414,8,FALSE)</f>
        <v>0</v>
      </c>
      <c r="AD351" s="1447">
        <f>VLOOKUP($C351,'3B.Demographic'!$C$15:$N$414,9,FALSE)</f>
        <v>0</v>
      </c>
      <c r="AE351" s="1447">
        <f>VLOOKUP($C351,'3B.Demographic'!$C$15:$N$414,10,FALSE)</f>
        <v>0</v>
      </c>
      <c r="AF351" s="1475">
        <f>VLOOKUP($C351,'3B.Demographic'!$C$15:$N$414,11,FALSE)</f>
        <v>0</v>
      </c>
      <c r="AG351" s="1229">
        <f>VLOOKUP($C351,'3B.Demographic'!$C$15:$N$414,12,FALSE)</f>
        <v>0</v>
      </c>
    </row>
    <row r="352" spans="1:33" ht="20.100000000000001" customHeight="1">
      <c r="A352" s="217" t="str">
        <f>IF(D352&lt;&gt;"", ' 1A.Prop&amp;Residents'!$B$7, "")</f>
        <v/>
      </c>
      <c r="B352" s="217" t="str">
        <f t="shared" si="17"/>
        <v/>
      </c>
      <c r="C352" s="34">
        <v>338</v>
      </c>
      <c r="D352" s="153"/>
      <c r="E352" s="154"/>
      <c r="F352" s="1775"/>
      <c r="G352" s="155"/>
      <c r="H352" s="156"/>
      <c r="I352" s="154"/>
      <c r="J352" s="157"/>
      <c r="K352" s="156"/>
      <c r="L352" s="154"/>
      <c r="M352" s="609" t="str">
        <f>IF(L352="","",IF(E352="","",IF('1B.TransitionalProg'!$H$8&gt;0,"",VLOOKUP($E352,' 1A.Prop&amp;Residents'!$P$41:$R$47,2,FALSE))))</f>
        <v/>
      </c>
      <c r="N352" s="609" t="str">
        <f>IF(L352="","",IF(E352="","",IF('1B.TransitionalProg'!$H$8&gt;0,"",VLOOKUP($E352,' 1A.Prop&amp;Residents'!$P$41:$R$47,3,FALSE))))</f>
        <v/>
      </c>
      <c r="O352" s="610" t="str">
        <f>IF(L352="", "", IF(E352="", "", IF('1B.TransitionalProg'!$H$8&gt;0,"",IF(L352&lt;M352,"overHOUSED?",IF(L352&gt;N352, "OVERcrowded?","")))))</f>
        <v/>
      </c>
      <c r="P352" s="623"/>
      <c r="Q352" s="154"/>
      <c r="R352" s="154"/>
      <c r="S352" s="156"/>
      <c r="T352" s="156"/>
      <c r="U352" s="156"/>
      <c r="V352" s="156"/>
      <c r="W352" s="1580" t="str">
        <f t="shared" si="15"/>
        <v/>
      </c>
      <c r="X352" s="155"/>
      <c r="Y352" s="156"/>
      <c r="Z352" s="233" t="str">
        <f t="shared" si="16"/>
        <v/>
      </c>
      <c r="AA352" s="1447">
        <f>VLOOKUP($C352,'3B.Demographic'!$C$15:$N$414,6,FALSE)</f>
        <v>0</v>
      </c>
      <c r="AB352" s="1447">
        <f>VLOOKUP($C352,'3B.Demographic'!$C$15:$N$414,7,FALSE)</f>
        <v>0</v>
      </c>
      <c r="AC352" s="1447">
        <f>VLOOKUP($C352,'3B.Demographic'!$C$15:$N$414,8,FALSE)</f>
        <v>0</v>
      </c>
      <c r="AD352" s="1447">
        <f>VLOOKUP($C352,'3B.Demographic'!$C$15:$N$414,9,FALSE)</f>
        <v>0</v>
      </c>
      <c r="AE352" s="1447">
        <f>VLOOKUP($C352,'3B.Demographic'!$C$15:$N$414,10,FALSE)</f>
        <v>0</v>
      </c>
      <c r="AF352" s="1475">
        <f>VLOOKUP($C352,'3B.Demographic'!$C$15:$N$414,11,FALSE)</f>
        <v>0</v>
      </c>
      <c r="AG352" s="1229">
        <f>VLOOKUP($C352,'3B.Demographic'!$C$15:$N$414,12,FALSE)</f>
        <v>0</v>
      </c>
    </row>
    <row r="353" spans="1:33" ht="20.100000000000001" customHeight="1">
      <c r="A353" s="217" t="str">
        <f>IF(D353&lt;&gt;"", ' 1A.Prop&amp;Residents'!$B$7, "")</f>
        <v/>
      </c>
      <c r="B353" s="217" t="str">
        <f t="shared" si="17"/>
        <v/>
      </c>
      <c r="C353" s="34">
        <v>339</v>
      </c>
      <c r="D353" s="153"/>
      <c r="E353" s="154"/>
      <c r="F353" s="1775"/>
      <c r="G353" s="155"/>
      <c r="H353" s="156"/>
      <c r="I353" s="154"/>
      <c r="J353" s="157"/>
      <c r="K353" s="156"/>
      <c r="L353" s="154"/>
      <c r="M353" s="609" t="str">
        <f>IF(L353="","",IF(E353="","",IF('1B.TransitionalProg'!$H$8&gt;0,"",VLOOKUP($E353,' 1A.Prop&amp;Residents'!$P$41:$R$47,2,FALSE))))</f>
        <v/>
      </c>
      <c r="N353" s="609" t="str">
        <f>IF(L353="","",IF(E353="","",IF('1B.TransitionalProg'!$H$8&gt;0,"",VLOOKUP($E353,' 1A.Prop&amp;Residents'!$P$41:$R$47,3,FALSE))))</f>
        <v/>
      </c>
      <c r="O353" s="610" t="str">
        <f>IF(L353="", "", IF(E353="", "", IF('1B.TransitionalProg'!$H$8&gt;0,"",IF(L353&lt;M353,"overHOUSED?",IF(L353&gt;N353, "OVERcrowded?","")))))</f>
        <v/>
      </c>
      <c r="P353" s="623"/>
      <c r="Q353" s="154"/>
      <c r="R353" s="154"/>
      <c r="S353" s="156"/>
      <c r="T353" s="156"/>
      <c r="U353" s="156"/>
      <c r="V353" s="156"/>
      <c r="W353" s="1580" t="str">
        <f t="shared" si="15"/>
        <v/>
      </c>
      <c r="X353" s="155"/>
      <c r="Y353" s="156"/>
      <c r="Z353" s="233" t="str">
        <f t="shared" si="16"/>
        <v/>
      </c>
      <c r="AA353" s="1447">
        <f>VLOOKUP($C353,'3B.Demographic'!$C$15:$N$414,6,FALSE)</f>
        <v>0</v>
      </c>
      <c r="AB353" s="1447">
        <f>VLOOKUP($C353,'3B.Demographic'!$C$15:$N$414,7,FALSE)</f>
        <v>0</v>
      </c>
      <c r="AC353" s="1447">
        <f>VLOOKUP($C353,'3B.Demographic'!$C$15:$N$414,8,FALSE)</f>
        <v>0</v>
      </c>
      <c r="AD353" s="1447">
        <f>VLOOKUP($C353,'3B.Demographic'!$C$15:$N$414,9,FALSE)</f>
        <v>0</v>
      </c>
      <c r="AE353" s="1447">
        <f>VLOOKUP($C353,'3B.Demographic'!$C$15:$N$414,10,FALSE)</f>
        <v>0</v>
      </c>
      <c r="AF353" s="1475">
        <f>VLOOKUP($C353,'3B.Demographic'!$C$15:$N$414,11,FALSE)</f>
        <v>0</v>
      </c>
      <c r="AG353" s="1229">
        <f>VLOOKUP($C353,'3B.Demographic'!$C$15:$N$414,12,FALSE)</f>
        <v>0</v>
      </c>
    </row>
    <row r="354" spans="1:33" ht="20.100000000000001" customHeight="1">
      <c r="A354" s="217" t="str">
        <f>IF(D354&lt;&gt;"", ' 1A.Prop&amp;Residents'!$B$7, "")</f>
        <v/>
      </c>
      <c r="B354" s="217" t="str">
        <f t="shared" si="17"/>
        <v/>
      </c>
      <c r="C354" s="34">
        <v>340</v>
      </c>
      <c r="D354" s="153"/>
      <c r="E354" s="154"/>
      <c r="F354" s="1775"/>
      <c r="G354" s="155"/>
      <c r="H354" s="156"/>
      <c r="I354" s="154"/>
      <c r="J354" s="157"/>
      <c r="K354" s="156"/>
      <c r="L354" s="154"/>
      <c r="M354" s="609" t="str">
        <f>IF(L354="","",IF(E354="","",IF('1B.TransitionalProg'!$H$8&gt;0,"",VLOOKUP($E354,' 1A.Prop&amp;Residents'!$P$41:$R$47,2,FALSE))))</f>
        <v/>
      </c>
      <c r="N354" s="609" t="str">
        <f>IF(L354="","",IF(E354="","",IF('1B.TransitionalProg'!$H$8&gt;0,"",VLOOKUP($E354,' 1A.Prop&amp;Residents'!$P$41:$R$47,3,FALSE))))</f>
        <v/>
      </c>
      <c r="O354" s="610" t="str">
        <f>IF(L354="", "", IF(E354="", "", IF('1B.TransitionalProg'!$H$8&gt;0,"",IF(L354&lt;M354,"overHOUSED?",IF(L354&gt;N354, "OVERcrowded?","")))))</f>
        <v/>
      </c>
      <c r="P354" s="623"/>
      <c r="Q354" s="154"/>
      <c r="R354" s="154"/>
      <c r="S354" s="156"/>
      <c r="T354" s="156"/>
      <c r="U354" s="156"/>
      <c r="V354" s="156"/>
      <c r="W354" s="1580" t="str">
        <f t="shared" si="15"/>
        <v/>
      </c>
      <c r="X354" s="155"/>
      <c r="Y354" s="156"/>
      <c r="Z354" s="233" t="str">
        <f t="shared" si="16"/>
        <v/>
      </c>
      <c r="AA354" s="1447">
        <f>VLOOKUP($C354,'3B.Demographic'!$C$15:$N$414,6,FALSE)</f>
        <v>0</v>
      </c>
      <c r="AB354" s="1447">
        <f>VLOOKUP($C354,'3B.Demographic'!$C$15:$N$414,7,FALSE)</f>
        <v>0</v>
      </c>
      <c r="AC354" s="1447">
        <f>VLOOKUP($C354,'3B.Demographic'!$C$15:$N$414,8,FALSE)</f>
        <v>0</v>
      </c>
      <c r="AD354" s="1447">
        <f>VLOOKUP($C354,'3B.Demographic'!$C$15:$N$414,9,FALSE)</f>
        <v>0</v>
      </c>
      <c r="AE354" s="1447">
        <f>VLOOKUP($C354,'3B.Demographic'!$C$15:$N$414,10,FALSE)</f>
        <v>0</v>
      </c>
      <c r="AF354" s="1475">
        <f>VLOOKUP($C354,'3B.Demographic'!$C$15:$N$414,11,FALSE)</f>
        <v>0</v>
      </c>
      <c r="AG354" s="1229">
        <f>VLOOKUP($C354,'3B.Demographic'!$C$15:$N$414,12,FALSE)</f>
        <v>0</v>
      </c>
    </row>
    <row r="355" spans="1:33" ht="20.100000000000001" customHeight="1">
      <c r="A355" s="217" t="str">
        <f>IF(D355&lt;&gt;"", ' 1A.Prop&amp;Residents'!$B$7, "")</f>
        <v/>
      </c>
      <c r="B355" s="217" t="str">
        <f t="shared" si="17"/>
        <v/>
      </c>
      <c r="C355" s="34">
        <v>341</v>
      </c>
      <c r="D355" s="153"/>
      <c r="E355" s="154"/>
      <c r="F355" s="1775"/>
      <c r="G355" s="155"/>
      <c r="H355" s="156"/>
      <c r="I355" s="154"/>
      <c r="J355" s="157"/>
      <c r="K355" s="156"/>
      <c r="L355" s="154"/>
      <c r="M355" s="609" t="str">
        <f>IF(L355="","",IF(E355="","",IF('1B.TransitionalProg'!$H$8&gt;0,"",VLOOKUP($E355,' 1A.Prop&amp;Residents'!$P$41:$R$47,2,FALSE))))</f>
        <v/>
      </c>
      <c r="N355" s="609" t="str">
        <f>IF(L355="","",IF(E355="","",IF('1B.TransitionalProg'!$H$8&gt;0,"",VLOOKUP($E355,' 1A.Prop&amp;Residents'!$P$41:$R$47,3,FALSE))))</f>
        <v/>
      </c>
      <c r="O355" s="610" t="str">
        <f>IF(L355="", "", IF(E355="", "", IF('1B.TransitionalProg'!$H$8&gt;0,"",IF(L355&lt;M355,"overHOUSED?",IF(L355&gt;N355, "OVERcrowded?","")))))</f>
        <v/>
      </c>
      <c r="P355" s="623"/>
      <c r="Q355" s="154"/>
      <c r="R355" s="154"/>
      <c r="S355" s="156"/>
      <c r="T355" s="156"/>
      <c r="U355" s="156"/>
      <c r="V355" s="156"/>
      <c r="W355" s="1580" t="str">
        <f t="shared" si="15"/>
        <v/>
      </c>
      <c r="X355" s="155"/>
      <c r="Y355" s="156"/>
      <c r="Z355" s="233" t="str">
        <f t="shared" si="16"/>
        <v/>
      </c>
      <c r="AA355" s="1447">
        <f>VLOOKUP($C355,'3B.Demographic'!$C$15:$N$414,6,FALSE)</f>
        <v>0</v>
      </c>
      <c r="AB355" s="1447">
        <f>VLOOKUP($C355,'3B.Demographic'!$C$15:$N$414,7,FALSE)</f>
        <v>0</v>
      </c>
      <c r="AC355" s="1447">
        <f>VLOOKUP($C355,'3B.Demographic'!$C$15:$N$414,8,FALSE)</f>
        <v>0</v>
      </c>
      <c r="AD355" s="1447">
        <f>VLOOKUP($C355,'3B.Demographic'!$C$15:$N$414,9,FALSE)</f>
        <v>0</v>
      </c>
      <c r="AE355" s="1447">
        <f>VLOOKUP($C355,'3B.Demographic'!$C$15:$N$414,10,FALSE)</f>
        <v>0</v>
      </c>
      <c r="AF355" s="1475">
        <f>VLOOKUP($C355,'3B.Demographic'!$C$15:$N$414,11,FALSE)</f>
        <v>0</v>
      </c>
      <c r="AG355" s="1229">
        <f>VLOOKUP($C355,'3B.Demographic'!$C$15:$N$414,12,FALSE)</f>
        <v>0</v>
      </c>
    </row>
    <row r="356" spans="1:33" ht="20.100000000000001" customHeight="1">
      <c r="A356" s="217" t="str">
        <f>IF(D356&lt;&gt;"", ' 1A.Prop&amp;Residents'!$B$7, "")</f>
        <v/>
      </c>
      <c r="B356" s="217" t="str">
        <f t="shared" si="17"/>
        <v/>
      </c>
      <c r="C356" s="34">
        <v>342</v>
      </c>
      <c r="D356" s="153"/>
      <c r="E356" s="154"/>
      <c r="F356" s="1775"/>
      <c r="G356" s="155"/>
      <c r="H356" s="156"/>
      <c r="I356" s="154"/>
      <c r="J356" s="157"/>
      <c r="K356" s="156"/>
      <c r="L356" s="154"/>
      <c r="M356" s="609" t="str">
        <f>IF(L356="","",IF(E356="","",IF('1B.TransitionalProg'!$H$8&gt;0,"",VLOOKUP($E356,' 1A.Prop&amp;Residents'!$P$41:$R$47,2,FALSE))))</f>
        <v/>
      </c>
      <c r="N356" s="609" t="str">
        <f>IF(L356="","",IF(E356="","",IF('1B.TransitionalProg'!$H$8&gt;0,"",VLOOKUP($E356,' 1A.Prop&amp;Residents'!$P$41:$R$47,3,FALSE))))</f>
        <v/>
      </c>
      <c r="O356" s="610" t="str">
        <f>IF(L356="", "", IF(E356="", "", IF('1B.TransitionalProg'!$H$8&gt;0,"",IF(L356&lt;M356,"overHOUSED?",IF(L356&gt;N356, "OVERcrowded?","")))))</f>
        <v/>
      </c>
      <c r="P356" s="623"/>
      <c r="Q356" s="154"/>
      <c r="R356" s="154"/>
      <c r="S356" s="156"/>
      <c r="T356" s="156"/>
      <c r="U356" s="156"/>
      <c r="V356" s="156"/>
      <c r="W356" s="1580" t="str">
        <f t="shared" si="15"/>
        <v/>
      </c>
      <c r="X356" s="155"/>
      <c r="Y356" s="156"/>
      <c r="Z356" s="233" t="str">
        <f t="shared" si="16"/>
        <v/>
      </c>
      <c r="AA356" s="1447">
        <f>VLOOKUP($C356,'3B.Demographic'!$C$15:$N$414,6,FALSE)</f>
        <v>0</v>
      </c>
      <c r="AB356" s="1447">
        <f>VLOOKUP($C356,'3B.Demographic'!$C$15:$N$414,7,FALSE)</f>
        <v>0</v>
      </c>
      <c r="AC356" s="1447">
        <f>VLOOKUP($C356,'3B.Demographic'!$C$15:$N$414,8,FALSE)</f>
        <v>0</v>
      </c>
      <c r="AD356" s="1447">
        <f>VLOOKUP($C356,'3B.Demographic'!$C$15:$N$414,9,FALSE)</f>
        <v>0</v>
      </c>
      <c r="AE356" s="1447">
        <f>VLOOKUP($C356,'3B.Demographic'!$C$15:$N$414,10,FALSE)</f>
        <v>0</v>
      </c>
      <c r="AF356" s="1475">
        <f>VLOOKUP($C356,'3B.Demographic'!$C$15:$N$414,11,FALSE)</f>
        <v>0</v>
      </c>
      <c r="AG356" s="1229">
        <f>VLOOKUP($C356,'3B.Demographic'!$C$15:$N$414,12,FALSE)</f>
        <v>0</v>
      </c>
    </row>
    <row r="357" spans="1:33" ht="20.100000000000001" customHeight="1">
      <c r="A357" s="217" t="str">
        <f>IF(D357&lt;&gt;"", ' 1A.Prop&amp;Residents'!$B$7, "")</f>
        <v/>
      </c>
      <c r="B357" s="217" t="str">
        <f t="shared" si="17"/>
        <v/>
      </c>
      <c r="C357" s="34">
        <v>343</v>
      </c>
      <c r="D357" s="153"/>
      <c r="E357" s="154"/>
      <c r="F357" s="1775"/>
      <c r="G357" s="155"/>
      <c r="H357" s="156"/>
      <c r="I357" s="154"/>
      <c r="J357" s="157"/>
      <c r="K357" s="156"/>
      <c r="L357" s="154"/>
      <c r="M357" s="609" t="str">
        <f>IF(L357="","",IF(E357="","",IF('1B.TransitionalProg'!$H$8&gt;0,"",VLOOKUP($E357,' 1A.Prop&amp;Residents'!$P$41:$R$47,2,FALSE))))</f>
        <v/>
      </c>
      <c r="N357" s="609" t="str">
        <f>IF(L357="","",IF(E357="","",IF('1B.TransitionalProg'!$H$8&gt;0,"",VLOOKUP($E357,' 1A.Prop&amp;Residents'!$P$41:$R$47,3,FALSE))))</f>
        <v/>
      </c>
      <c r="O357" s="610" t="str">
        <f>IF(L357="", "", IF(E357="", "", IF('1B.TransitionalProg'!$H$8&gt;0,"",IF(L357&lt;M357,"overHOUSED?",IF(L357&gt;N357, "OVERcrowded?","")))))</f>
        <v/>
      </c>
      <c r="P357" s="623"/>
      <c r="Q357" s="154"/>
      <c r="R357" s="154"/>
      <c r="S357" s="156"/>
      <c r="T357" s="156"/>
      <c r="U357" s="156"/>
      <c r="V357" s="156"/>
      <c r="W357" s="1580" t="str">
        <f t="shared" si="15"/>
        <v/>
      </c>
      <c r="X357" s="155"/>
      <c r="Y357" s="156"/>
      <c r="Z357" s="233" t="str">
        <f t="shared" si="16"/>
        <v/>
      </c>
      <c r="AA357" s="1447">
        <f>VLOOKUP($C357,'3B.Demographic'!$C$15:$N$414,6,FALSE)</f>
        <v>0</v>
      </c>
      <c r="AB357" s="1447">
        <f>VLOOKUP($C357,'3B.Demographic'!$C$15:$N$414,7,FALSE)</f>
        <v>0</v>
      </c>
      <c r="AC357" s="1447">
        <f>VLOOKUP($C357,'3B.Demographic'!$C$15:$N$414,8,FALSE)</f>
        <v>0</v>
      </c>
      <c r="AD357" s="1447">
        <f>VLOOKUP($C357,'3B.Demographic'!$C$15:$N$414,9,FALSE)</f>
        <v>0</v>
      </c>
      <c r="AE357" s="1447">
        <f>VLOOKUP($C357,'3B.Demographic'!$C$15:$N$414,10,FALSE)</f>
        <v>0</v>
      </c>
      <c r="AF357" s="1475">
        <f>VLOOKUP($C357,'3B.Demographic'!$C$15:$N$414,11,FALSE)</f>
        <v>0</v>
      </c>
      <c r="AG357" s="1229">
        <f>VLOOKUP($C357,'3B.Demographic'!$C$15:$N$414,12,FALSE)</f>
        <v>0</v>
      </c>
    </row>
    <row r="358" spans="1:33" ht="20.100000000000001" customHeight="1">
      <c r="A358" s="217" t="str">
        <f>IF(D358&lt;&gt;"", ' 1A.Prop&amp;Residents'!$B$7, "")</f>
        <v/>
      </c>
      <c r="B358" s="217" t="str">
        <f t="shared" si="17"/>
        <v/>
      </c>
      <c r="C358" s="34">
        <v>344</v>
      </c>
      <c r="D358" s="153"/>
      <c r="E358" s="154"/>
      <c r="F358" s="1775"/>
      <c r="G358" s="155"/>
      <c r="H358" s="156"/>
      <c r="I358" s="154"/>
      <c r="J358" s="157"/>
      <c r="K358" s="156"/>
      <c r="L358" s="154"/>
      <c r="M358" s="609" t="str">
        <f>IF(L358="","",IF(E358="","",IF('1B.TransitionalProg'!$H$8&gt;0,"",VLOOKUP($E358,' 1A.Prop&amp;Residents'!$P$41:$R$47,2,FALSE))))</f>
        <v/>
      </c>
      <c r="N358" s="609" t="str">
        <f>IF(L358="","",IF(E358="","",IF('1B.TransitionalProg'!$H$8&gt;0,"",VLOOKUP($E358,' 1A.Prop&amp;Residents'!$P$41:$R$47,3,FALSE))))</f>
        <v/>
      </c>
      <c r="O358" s="610" t="str">
        <f>IF(L358="", "", IF(E358="", "", IF('1B.TransitionalProg'!$H$8&gt;0,"",IF(L358&lt;M358,"overHOUSED?",IF(L358&gt;N358, "OVERcrowded?","")))))</f>
        <v/>
      </c>
      <c r="P358" s="623"/>
      <c r="Q358" s="154"/>
      <c r="R358" s="154"/>
      <c r="S358" s="156"/>
      <c r="T358" s="156"/>
      <c r="U358" s="156"/>
      <c r="V358" s="156"/>
      <c r="W358" s="1580" t="str">
        <f t="shared" si="15"/>
        <v/>
      </c>
      <c r="X358" s="155"/>
      <c r="Y358" s="156"/>
      <c r="Z358" s="233" t="str">
        <f t="shared" si="16"/>
        <v/>
      </c>
      <c r="AA358" s="1447">
        <f>VLOOKUP($C358,'3B.Demographic'!$C$15:$N$414,6,FALSE)</f>
        <v>0</v>
      </c>
      <c r="AB358" s="1447">
        <f>VLOOKUP($C358,'3B.Demographic'!$C$15:$N$414,7,FALSE)</f>
        <v>0</v>
      </c>
      <c r="AC358" s="1447">
        <f>VLOOKUP($C358,'3B.Demographic'!$C$15:$N$414,8,FALSE)</f>
        <v>0</v>
      </c>
      <c r="AD358" s="1447">
        <f>VLOOKUP($C358,'3B.Demographic'!$C$15:$N$414,9,FALSE)</f>
        <v>0</v>
      </c>
      <c r="AE358" s="1447">
        <f>VLOOKUP($C358,'3B.Demographic'!$C$15:$N$414,10,FALSE)</f>
        <v>0</v>
      </c>
      <c r="AF358" s="1475">
        <f>VLOOKUP($C358,'3B.Demographic'!$C$15:$N$414,11,FALSE)</f>
        <v>0</v>
      </c>
      <c r="AG358" s="1229">
        <f>VLOOKUP($C358,'3B.Demographic'!$C$15:$N$414,12,FALSE)</f>
        <v>0</v>
      </c>
    </row>
    <row r="359" spans="1:33" ht="20.100000000000001" customHeight="1">
      <c r="A359" s="217" t="str">
        <f>IF(D359&lt;&gt;"", ' 1A.Prop&amp;Residents'!$B$7, "")</f>
        <v/>
      </c>
      <c r="B359" s="217" t="str">
        <f t="shared" si="17"/>
        <v/>
      </c>
      <c r="C359" s="34">
        <v>345</v>
      </c>
      <c r="D359" s="153"/>
      <c r="E359" s="154"/>
      <c r="F359" s="1775"/>
      <c r="G359" s="155"/>
      <c r="H359" s="156"/>
      <c r="I359" s="154"/>
      <c r="J359" s="157"/>
      <c r="K359" s="156"/>
      <c r="L359" s="154"/>
      <c r="M359" s="609" t="str">
        <f>IF(L359="","",IF(E359="","",IF('1B.TransitionalProg'!$H$8&gt;0,"",VLOOKUP($E359,' 1A.Prop&amp;Residents'!$P$41:$R$47,2,FALSE))))</f>
        <v/>
      </c>
      <c r="N359" s="609" t="str">
        <f>IF(L359="","",IF(E359="","",IF('1B.TransitionalProg'!$H$8&gt;0,"",VLOOKUP($E359,' 1A.Prop&amp;Residents'!$P$41:$R$47,3,FALSE))))</f>
        <v/>
      </c>
      <c r="O359" s="610" t="str">
        <f>IF(L359="", "", IF(E359="", "", IF('1B.TransitionalProg'!$H$8&gt;0,"",IF(L359&lt;M359,"overHOUSED?",IF(L359&gt;N359, "OVERcrowded?","")))))</f>
        <v/>
      </c>
      <c r="P359" s="623"/>
      <c r="Q359" s="154"/>
      <c r="R359" s="154"/>
      <c r="S359" s="156"/>
      <c r="T359" s="156"/>
      <c r="U359" s="156"/>
      <c r="V359" s="156"/>
      <c r="W359" s="1580" t="str">
        <f t="shared" si="15"/>
        <v/>
      </c>
      <c r="X359" s="155"/>
      <c r="Y359" s="156"/>
      <c r="Z359" s="233" t="str">
        <f t="shared" si="16"/>
        <v/>
      </c>
      <c r="AA359" s="1447">
        <f>VLOOKUP($C359,'3B.Demographic'!$C$15:$N$414,6,FALSE)</f>
        <v>0</v>
      </c>
      <c r="AB359" s="1447">
        <f>VLOOKUP($C359,'3B.Demographic'!$C$15:$N$414,7,FALSE)</f>
        <v>0</v>
      </c>
      <c r="AC359" s="1447">
        <f>VLOOKUP($C359,'3B.Demographic'!$C$15:$N$414,8,FALSE)</f>
        <v>0</v>
      </c>
      <c r="AD359" s="1447">
        <f>VLOOKUP($C359,'3B.Demographic'!$C$15:$N$414,9,FALSE)</f>
        <v>0</v>
      </c>
      <c r="AE359" s="1447">
        <f>VLOOKUP($C359,'3B.Demographic'!$C$15:$N$414,10,FALSE)</f>
        <v>0</v>
      </c>
      <c r="AF359" s="1475">
        <f>VLOOKUP($C359,'3B.Demographic'!$C$15:$N$414,11,FALSE)</f>
        <v>0</v>
      </c>
      <c r="AG359" s="1229">
        <f>VLOOKUP($C359,'3B.Demographic'!$C$15:$N$414,12,FALSE)</f>
        <v>0</v>
      </c>
    </row>
    <row r="360" spans="1:33" ht="20.100000000000001" customHeight="1">
      <c r="A360" s="217" t="str">
        <f>IF(D360&lt;&gt;"", ' 1A.Prop&amp;Residents'!$B$7, "")</f>
        <v/>
      </c>
      <c r="B360" s="217" t="str">
        <f t="shared" si="17"/>
        <v/>
      </c>
      <c r="C360" s="34">
        <v>346</v>
      </c>
      <c r="D360" s="153"/>
      <c r="E360" s="154"/>
      <c r="F360" s="1775"/>
      <c r="G360" s="155"/>
      <c r="H360" s="156"/>
      <c r="I360" s="154"/>
      <c r="J360" s="157"/>
      <c r="K360" s="156"/>
      <c r="L360" s="154"/>
      <c r="M360" s="609" t="str">
        <f>IF(L360="","",IF(E360="","",IF('1B.TransitionalProg'!$H$8&gt;0,"",VLOOKUP($E360,' 1A.Prop&amp;Residents'!$P$41:$R$47,2,FALSE))))</f>
        <v/>
      </c>
      <c r="N360" s="609" t="str">
        <f>IF(L360="","",IF(E360="","",IF('1B.TransitionalProg'!$H$8&gt;0,"",VLOOKUP($E360,' 1A.Prop&amp;Residents'!$P$41:$R$47,3,FALSE))))</f>
        <v/>
      </c>
      <c r="O360" s="610" t="str">
        <f>IF(L360="", "", IF(E360="", "", IF('1B.TransitionalProg'!$H$8&gt;0,"",IF(L360&lt;M360,"overHOUSED?",IF(L360&gt;N360, "OVERcrowded?","")))))</f>
        <v/>
      </c>
      <c r="P360" s="623"/>
      <c r="Q360" s="154"/>
      <c r="R360" s="154"/>
      <c r="S360" s="156"/>
      <c r="T360" s="156"/>
      <c r="U360" s="156"/>
      <c r="V360" s="156"/>
      <c r="W360" s="1580" t="str">
        <f t="shared" si="15"/>
        <v/>
      </c>
      <c r="X360" s="155"/>
      <c r="Y360" s="156"/>
      <c r="Z360" s="233" t="str">
        <f t="shared" si="16"/>
        <v/>
      </c>
      <c r="AA360" s="1447">
        <f>VLOOKUP($C360,'3B.Demographic'!$C$15:$N$414,6,FALSE)</f>
        <v>0</v>
      </c>
      <c r="AB360" s="1447">
        <f>VLOOKUP($C360,'3B.Demographic'!$C$15:$N$414,7,FALSE)</f>
        <v>0</v>
      </c>
      <c r="AC360" s="1447">
        <f>VLOOKUP($C360,'3B.Demographic'!$C$15:$N$414,8,FALSE)</f>
        <v>0</v>
      </c>
      <c r="AD360" s="1447">
        <f>VLOOKUP($C360,'3B.Demographic'!$C$15:$N$414,9,FALSE)</f>
        <v>0</v>
      </c>
      <c r="AE360" s="1447">
        <f>VLOOKUP($C360,'3B.Demographic'!$C$15:$N$414,10,FALSE)</f>
        <v>0</v>
      </c>
      <c r="AF360" s="1475">
        <f>VLOOKUP($C360,'3B.Demographic'!$C$15:$N$414,11,FALSE)</f>
        <v>0</v>
      </c>
      <c r="AG360" s="1229">
        <f>VLOOKUP($C360,'3B.Demographic'!$C$15:$N$414,12,FALSE)</f>
        <v>0</v>
      </c>
    </row>
    <row r="361" spans="1:33" ht="20.100000000000001" customHeight="1">
      <c r="A361" s="217" t="str">
        <f>IF(D361&lt;&gt;"", ' 1A.Prop&amp;Residents'!$B$7, "")</f>
        <v/>
      </c>
      <c r="B361" s="217" t="str">
        <f t="shared" si="17"/>
        <v/>
      </c>
      <c r="C361" s="34">
        <v>347</v>
      </c>
      <c r="D361" s="153"/>
      <c r="E361" s="154"/>
      <c r="F361" s="1775"/>
      <c r="G361" s="155"/>
      <c r="H361" s="156"/>
      <c r="I361" s="154"/>
      <c r="J361" s="157"/>
      <c r="K361" s="156"/>
      <c r="L361" s="154"/>
      <c r="M361" s="609" t="str">
        <f>IF(L361="","",IF(E361="","",IF('1B.TransitionalProg'!$H$8&gt;0,"",VLOOKUP($E361,' 1A.Prop&amp;Residents'!$P$41:$R$47,2,FALSE))))</f>
        <v/>
      </c>
      <c r="N361" s="609" t="str">
        <f>IF(L361="","",IF(E361="","",IF('1B.TransitionalProg'!$H$8&gt;0,"",VLOOKUP($E361,' 1A.Prop&amp;Residents'!$P$41:$R$47,3,FALSE))))</f>
        <v/>
      </c>
      <c r="O361" s="610" t="str">
        <f>IF(L361="", "", IF(E361="", "", IF('1B.TransitionalProg'!$H$8&gt;0,"",IF(L361&lt;M361,"overHOUSED?",IF(L361&gt;N361, "OVERcrowded?","")))))</f>
        <v/>
      </c>
      <c r="P361" s="623"/>
      <c r="Q361" s="154"/>
      <c r="R361" s="154"/>
      <c r="S361" s="156"/>
      <c r="T361" s="156"/>
      <c r="U361" s="156"/>
      <c r="V361" s="156"/>
      <c r="W361" s="1580" t="str">
        <f t="shared" si="15"/>
        <v/>
      </c>
      <c r="X361" s="155"/>
      <c r="Y361" s="156"/>
      <c r="Z361" s="233" t="str">
        <f t="shared" si="16"/>
        <v/>
      </c>
      <c r="AA361" s="1447">
        <f>VLOOKUP($C361,'3B.Demographic'!$C$15:$N$414,6,FALSE)</f>
        <v>0</v>
      </c>
      <c r="AB361" s="1447">
        <f>VLOOKUP($C361,'3B.Demographic'!$C$15:$N$414,7,FALSE)</f>
        <v>0</v>
      </c>
      <c r="AC361" s="1447">
        <f>VLOOKUP($C361,'3B.Demographic'!$C$15:$N$414,8,FALSE)</f>
        <v>0</v>
      </c>
      <c r="AD361" s="1447">
        <f>VLOOKUP($C361,'3B.Demographic'!$C$15:$N$414,9,FALSE)</f>
        <v>0</v>
      </c>
      <c r="AE361" s="1447">
        <f>VLOOKUP($C361,'3B.Demographic'!$C$15:$N$414,10,FALSE)</f>
        <v>0</v>
      </c>
      <c r="AF361" s="1475">
        <f>VLOOKUP($C361,'3B.Demographic'!$C$15:$N$414,11,FALSE)</f>
        <v>0</v>
      </c>
      <c r="AG361" s="1229">
        <f>VLOOKUP($C361,'3B.Demographic'!$C$15:$N$414,12,FALSE)</f>
        <v>0</v>
      </c>
    </row>
    <row r="362" spans="1:33" ht="20.100000000000001" customHeight="1">
      <c r="A362" s="217" t="str">
        <f>IF(D362&lt;&gt;"", ' 1A.Prop&amp;Residents'!$B$7, "")</f>
        <v/>
      </c>
      <c r="B362" s="217" t="str">
        <f t="shared" si="17"/>
        <v/>
      </c>
      <c r="C362" s="34">
        <v>348</v>
      </c>
      <c r="D362" s="153"/>
      <c r="E362" s="154"/>
      <c r="F362" s="1775"/>
      <c r="G362" s="155"/>
      <c r="H362" s="156"/>
      <c r="I362" s="154"/>
      <c r="J362" s="157"/>
      <c r="K362" s="156"/>
      <c r="L362" s="154"/>
      <c r="M362" s="609" t="str">
        <f>IF(L362="","",IF(E362="","",IF('1B.TransitionalProg'!$H$8&gt;0,"",VLOOKUP($E362,' 1A.Prop&amp;Residents'!$P$41:$R$47,2,FALSE))))</f>
        <v/>
      </c>
      <c r="N362" s="609" t="str">
        <f>IF(L362="","",IF(E362="","",IF('1B.TransitionalProg'!$H$8&gt;0,"",VLOOKUP($E362,' 1A.Prop&amp;Residents'!$P$41:$R$47,3,FALSE))))</f>
        <v/>
      </c>
      <c r="O362" s="610" t="str">
        <f>IF(L362="", "", IF(E362="", "", IF('1B.TransitionalProg'!$H$8&gt;0,"",IF(L362&lt;M362,"overHOUSED?",IF(L362&gt;N362, "OVERcrowded?","")))))</f>
        <v/>
      </c>
      <c r="P362" s="623"/>
      <c r="Q362" s="154"/>
      <c r="R362" s="154"/>
      <c r="S362" s="156"/>
      <c r="T362" s="156"/>
      <c r="U362" s="156"/>
      <c r="V362" s="156"/>
      <c r="W362" s="1580" t="str">
        <f t="shared" si="15"/>
        <v/>
      </c>
      <c r="X362" s="155"/>
      <c r="Y362" s="156"/>
      <c r="Z362" s="233" t="str">
        <f t="shared" si="16"/>
        <v/>
      </c>
      <c r="AA362" s="1447">
        <f>VLOOKUP($C362,'3B.Demographic'!$C$15:$N$414,6,FALSE)</f>
        <v>0</v>
      </c>
      <c r="AB362" s="1447">
        <f>VLOOKUP($C362,'3B.Demographic'!$C$15:$N$414,7,FALSE)</f>
        <v>0</v>
      </c>
      <c r="AC362" s="1447">
        <f>VLOOKUP($C362,'3B.Demographic'!$C$15:$N$414,8,FALSE)</f>
        <v>0</v>
      </c>
      <c r="AD362" s="1447">
        <f>VLOOKUP($C362,'3B.Demographic'!$C$15:$N$414,9,FALSE)</f>
        <v>0</v>
      </c>
      <c r="AE362" s="1447">
        <f>VLOOKUP($C362,'3B.Demographic'!$C$15:$N$414,10,FALSE)</f>
        <v>0</v>
      </c>
      <c r="AF362" s="1475">
        <f>VLOOKUP($C362,'3B.Demographic'!$C$15:$N$414,11,FALSE)</f>
        <v>0</v>
      </c>
      <c r="AG362" s="1229">
        <f>VLOOKUP($C362,'3B.Demographic'!$C$15:$N$414,12,FALSE)</f>
        <v>0</v>
      </c>
    </row>
    <row r="363" spans="1:33" ht="20.100000000000001" customHeight="1">
      <c r="A363" s="217" t="str">
        <f>IF(D363&lt;&gt;"", ' 1A.Prop&amp;Residents'!$B$7, "")</f>
        <v/>
      </c>
      <c r="B363" s="217" t="str">
        <f t="shared" si="17"/>
        <v/>
      </c>
      <c r="C363" s="34">
        <v>349</v>
      </c>
      <c r="D363" s="153"/>
      <c r="E363" s="154"/>
      <c r="F363" s="1775"/>
      <c r="G363" s="155"/>
      <c r="H363" s="156"/>
      <c r="I363" s="154"/>
      <c r="J363" s="157"/>
      <c r="K363" s="156"/>
      <c r="L363" s="154"/>
      <c r="M363" s="609" t="str">
        <f>IF(L363="","",IF(E363="","",IF('1B.TransitionalProg'!$H$8&gt;0,"",VLOOKUP($E363,' 1A.Prop&amp;Residents'!$P$41:$R$47,2,FALSE))))</f>
        <v/>
      </c>
      <c r="N363" s="609" t="str">
        <f>IF(L363="","",IF(E363="","",IF('1B.TransitionalProg'!$H$8&gt;0,"",VLOOKUP($E363,' 1A.Prop&amp;Residents'!$P$41:$R$47,3,FALSE))))</f>
        <v/>
      </c>
      <c r="O363" s="610" t="str">
        <f>IF(L363="", "", IF(E363="", "", IF('1B.TransitionalProg'!$H$8&gt;0,"",IF(L363&lt;M363,"overHOUSED?",IF(L363&gt;N363, "OVERcrowded?","")))))</f>
        <v/>
      </c>
      <c r="P363" s="623"/>
      <c r="Q363" s="154"/>
      <c r="R363" s="154"/>
      <c r="S363" s="156"/>
      <c r="T363" s="156"/>
      <c r="U363" s="156"/>
      <c r="V363" s="156"/>
      <c r="W363" s="1580" t="str">
        <f t="shared" si="15"/>
        <v/>
      </c>
      <c r="X363" s="155"/>
      <c r="Y363" s="156"/>
      <c r="Z363" s="233" t="str">
        <f t="shared" si="16"/>
        <v/>
      </c>
      <c r="AA363" s="1447">
        <f>VLOOKUP($C363,'3B.Demographic'!$C$15:$N$414,6,FALSE)</f>
        <v>0</v>
      </c>
      <c r="AB363" s="1447">
        <f>VLOOKUP($C363,'3B.Demographic'!$C$15:$N$414,7,FALSE)</f>
        <v>0</v>
      </c>
      <c r="AC363" s="1447">
        <f>VLOOKUP($C363,'3B.Demographic'!$C$15:$N$414,8,FALSE)</f>
        <v>0</v>
      </c>
      <c r="AD363" s="1447">
        <f>VLOOKUP($C363,'3B.Demographic'!$C$15:$N$414,9,FALSE)</f>
        <v>0</v>
      </c>
      <c r="AE363" s="1447">
        <f>VLOOKUP($C363,'3B.Demographic'!$C$15:$N$414,10,FALSE)</f>
        <v>0</v>
      </c>
      <c r="AF363" s="1475">
        <f>VLOOKUP($C363,'3B.Demographic'!$C$15:$N$414,11,FALSE)</f>
        <v>0</v>
      </c>
      <c r="AG363" s="1229">
        <f>VLOOKUP($C363,'3B.Demographic'!$C$15:$N$414,12,FALSE)</f>
        <v>0</v>
      </c>
    </row>
    <row r="364" spans="1:33" ht="20.100000000000001" customHeight="1">
      <c r="A364" s="217" t="str">
        <f>IF(D364&lt;&gt;"", ' 1A.Prop&amp;Residents'!$B$7, "")</f>
        <v/>
      </c>
      <c r="B364" s="217" t="str">
        <f t="shared" si="17"/>
        <v/>
      </c>
      <c r="C364" s="34">
        <v>350</v>
      </c>
      <c r="D364" s="153"/>
      <c r="E364" s="154"/>
      <c r="F364" s="1775"/>
      <c r="G364" s="155"/>
      <c r="H364" s="156"/>
      <c r="I364" s="154"/>
      <c r="J364" s="157"/>
      <c r="K364" s="156"/>
      <c r="L364" s="154"/>
      <c r="M364" s="609" t="str">
        <f>IF(L364="","",IF(E364="","",IF('1B.TransitionalProg'!$H$8&gt;0,"",VLOOKUP($E364,' 1A.Prop&amp;Residents'!$P$41:$R$47,2,FALSE))))</f>
        <v/>
      </c>
      <c r="N364" s="609" t="str">
        <f>IF(L364="","",IF(E364="","",IF('1B.TransitionalProg'!$H$8&gt;0,"",VLOOKUP($E364,' 1A.Prop&amp;Residents'!$P$41:$R$47,3,FALSE))))</f>
        <v/>
      </c>
      <c r="O364" s="610" t="str">
        <f>IF(L364="", "", IF(E364="", "", IF('1B.TransitionalProg'!$H$8&gt;0,"",IF(L364&lt;M364,"overHOUSED?",IF(L364&gt;N364, "OVERcrowded?","")))))</f>
        <v/>
      </c>
      <c r="P364" s="623"/>
      <c r="Q364" s="154"/>
      <c r="R364" s="154"/>
      <c r="S364" s="156"/>
      <c r="T364" s="156"/>
      <c r="U364" s="156"/>
      <c r="V364" s="156"/>
      <c r="W364" s="1580" t="str">
        <f t="shared" si="15"/>
        <v/>
      </c>
      <c r="X364" s="155"/>
      <c r="Y364" s="156"/>
      <c r="Z364" s="233" t="str">
        <f t="shared" si="16"/>
        <v/>
      </c>
      <c r="AA364" s="1447">
        <f>VLOOKUP($C364,'3B.Demographic'!$C$15:$N$414,6,FALSE)</f>
        <v>0</v>
      </c>
      <c r="AB364" s="1447">
        <f>VLOOKUP($C364,'3B.Demographic'!$C$15:$N$414,7,FALSE)</f>
        <v>0</v>
      </c>
      <c r="AC364" s="1447">
        <f>VLOOKUP($C364,'3B.Demographic'!$C$15:$N$414,8,FALSE)</f>
        <v>0</v>
      </c>
      <c r="AD364" s="1447">
        <f>VLOOKUP($C364,'3B.Demographic'!$C$15:$N$414,9,FALSE)</f>
        <v>0</v>
      </c>
      <c r="AE364" s="1447">
        <f>VLOOKUP($C364,'3B.Demographic'!$C$15:$N$414,10,FALSE)</f>
        <v>0</v>
      </c>
      <c r="AF364" s="1475">
        <f>VLOOKUP($C364,'3B.Demographic'!$C$15:$N$414,11,FALSE)</f>
        <v>0</v>
      </c>
      <c r="AG364" s="1229">
        <f>VLOOKUP($C364,'3B.Demographic'!$C$15:$N$414,12,FALSE)</f>
        <v>0</v>
      </c>
    </row>
    <row r="365" spans="1:33" ht="20.100000000000001" customHeight="1">
      <c r="A365" s="217" t="str">
        <f>IF(D365&lt;&gt;"", ' 1A.Prop&amp;Residents'!$B$7, "")</f>
        <v/>
      </c>
      <c r="B365" s="217" t="str">
        <f t="shared" si="17"/>
        <v/>
      </c>
      <c r="C365" s="34">
        <v>351</v>
      </c>
      <c r="D365" s="153"/>
      <c r="E365" s="154"/>
      <c r="F365" s="1775"/>
      <c r="G365" s="155"/>
      <c r="H365" s="156"/>
      <c r="I365" s="154"/>
      <c r="J365" s="157"/>
      <c r="K365" s="156"/>
      <c r="L365" s="154"/>
      <c r="M365" s="609" t="str">
        <f>IF(L365="","",IF(E365="","",IF('1B.TransitionalProg'!$H$8&gt;0,"",VLOOKUP($E365,' 1A.Prop&amp;Residents'!$P$41:$R$47,2,FALSE))))</f>
        <v/>
      </c>
      <c r="N365" s="609" t="str">
        <f>IF(L365="","",IF(E365="","",IF('1B.TransitionalProg'!$H$8&gt;0,"",VLOOKUP($E365,' 1A.Prop&amp;Residents'!$P$41:$R$47,3,FALSE))))</f>
        <v/>
      </c>
      <c r="O365" s="610" t="str">
        <f>IF(L365="", "", IF(E365="", "", IF('1B.TransitionalProg'!$H$8&gt;0,"",IF(L365&lt;M365,"overHOUSED?",IF(L365&gt;N365, "OVERcrowded?","")))))</f>
        <v/>
      </c>
      <c r="P365" s="623"/>
      <c r="Q365" s="154"/>
      <c r="R365" s="154"/>
      <c r="S365" s="156"/>
      <c r="T365" s="156"/>
      <c r="U365" s="156"/>
      <c r="V365" s="156"/>
      <c r="W365" s="1580" t="str">
        <f t="shared" si="15"/>
        <v/>
      </c>
      <c r="X365" s="155"/>
      <c r="Y365" s="156"/>
      <c r="Z365" s="233" t="str">
        <f t="shared" si="16"/>
        <v/>
      </c>
      <c r="AA365" s="1447">
        <f>VLOOKUP($C365,'3B.Demographic'!$C$15:$N$414,6,FALSE)</f>
        <v>0</v>
      </c>
      <c r="AB365" s="1447">
        <f>VLOOKUP($C365,'3B.Demographic'!$C$15:$N$414,7,FALSE)</f>
        <v>0</v>
      </c>
      <c r="AC365" s="1447">
        <f>VLOOKUP($C365,'3B.Demographic'!$C$15:$N$414,8,FALSE)</f>
        <v>0</v>
      </c>
      <c r="AD365" s="1447">
        <f>VLOOKUP($C365,'3B.Demographic'!$C$15:$N$414,9,FALSE)</f>
        <v>0</v>
      </c>
      <c r="AE365" s="1447">
        <f>VLOOKUP($C365,'3B.Demographic'!$C$15:$N$414,10,FALSE)</f>
        <v>0</v>
      </c>
      <c r="AF365" s="1475">
        <f>VLOOKUP($C365,'3B.Demographic'!$C$15:$N$414,11,FALSE)</f>
        <v>0</v>
      </c>
      <c r="AG365" s="1229">
        <f>VLOOKUP($C365,'3B.Demographic'!$C$15:$N$414,12,FALSE)</f>
        <v>0</v>
      </c>
    </row>
    <row r="366" spans="1:33" ht="20.100000000000001" customHeight="1">
      <c r="A366" s="217" t="str">
        <f>IF(D366&lt;&gt;"", ' 1A.Prop&amp;Residents'!$B$7, "")</f>
        <v/>
      </c>
      <c r="B366" s="217" t="str">
        <f t="shared" si="17"/>
        <v/>
      </c>
      <c r="C366" s="34">
        <v>352</v>
      </c>
      <c r="D366" s="153"/>
      <c r="E366" s="154"/>
      <c r="F366" s="1775"/>
      <c r="G366" s="155"/>
      <c r="H366" s="156"/>
      <c r="I366" s="154"/>
      <c r="J366" s="157"/>
      <c r="K366" s="156"/>
      <c r="L366" s="154"/>
      <c r="M366" s="609" t="str">
        <f>IF(L366="","",IF(E366="","",IF('1B.TransitionalProg'!$H$8&gt;0,"",VLOOKUP($E366,' 1A.Prop&amp;Residents'!$P$41:$R$47,2,FALSE))))</f>
        <v/>
      </c>
      <c r="N366" s="609" t="str">
        <f>IF(L366="","",IF(E366="","",IF('1B.TransitionalProg'!$H$8&gt;0,"",VLOOKUP($E366,' 1A.Prop&amp;Residents'!$P$41:$R$47,3,FALSE))))</f>
        <v/>
      </c>
      <c r="O366" s="610" t="str">
        <f>IF(L366="", "", IF(E366="", "", IF('1B.TransitionalProg'!$H$8&gt;0,"",IF(L366&lt;M366,"overHOUSED?",IF(L366&gt;N366, "OVERcrowded?","")))))</f>
        <v/>
      </c>
      <c r="P366" s="623"/>
      <c r="Q366" s="154"/>
      <c r="R366" s="154"/>
      <c r="S366" s="156"/>
      <c r="T366" s="156"/>
      <c r="U366" s="156"/>
      <c r="V366" s="156"/>
      <c r="W366" s="1580" t="str">
        <f t="shared" si="15"/>
        <v/>
      </c>
      <c r="X366" s="155"/>
      <c r="Y366" s="156"/>
      <c r="Z366" s="233" t="str">
        <f t="shared" si="16"/>
        <v/>
      </c>
      <c r="AA366" s="1447">
        <f>VLOOKUP($C366,'3B.Demographic'!$C$15:$N$414,6,FALSE)</f>
        <v>0</v>
      </c>
      <c r="AB366" s="1447">
        <f>VLOOKUP($C366,'3B.Demographic'!$C$15:$N$414,7,FALSE)</f>
        <v>0</v>
      </c>
      <c r="AC366" s="1447">
        <f>VLOOKUP($C366,'3B.Demographic'!$C$15:$N$414,8,FALSE)</f>
        <v>0</v>
      </c>
      <c r="AD366" s="1447">
        <f>VLOOKUP($C366,'3B.Demographic'!$C$15:$N$414,9,FALSE)</f>
        <v>0</v>
      </c>
      <c r="AE366" s="1447">
        <f>VLOOKUP($C366,'3B.Demographic'!$C$15:$N$414,10,FALSE)</f>
        <v>0</v>
      </c>
      <c r="AF366" s="1475">
        <f>VLOOKUP($C366,'3B.Demographic'!$C$15:$N$414,11,FALSE)</f>
        <v>0</v>
      </c>
      <c r="AG366" s="1229">
        <f>VLOOKUP($C366,'3B.Demographic'!$C$15:$N$414,12,FALSE)</f>
        <v>0</v>
      </c>
    </row>
    <row r="367" spans="1:33" ht="20.100000000000001" customHeight="1">
      <c r="A367" s="217" t="str">
        <f>IF(D367&lt;&gt;"", ' 1A.Prop&amp;Residents'!$B$7, "")</f>
        <v/>
      </c>
      <c r="B367" s="217" t="str">
        <f t="shared" si="17"/>
        <v/>
      </c>
      <c r="C367" s="34">
        <v>353</v>
      </c>
      <c r="D367" s="153"/>
      <c r="E367" s="154"/>
      <c r="F367" s="1775"/>
      <c r="G367" s="155"/>
      <c r="H367" s="156"/>
      <c r="I367" s="154"/>
      <c r="J367" s="157"/>
      <c r="K367" s="156"/>
      <c r="L367" s="154"/>
      <c r="M367" s="609" t="str">
        <f>IF(L367="","",IF(E367="","",IF('1B.TransitionalProg'!$H$8&gt;0,"",VLOOKUP($E367,' 1A.Prop&amp;Residents'!$P$41:$R$47,2,FALSE))))</f>
        <v/>
      </c>
      <c r="N367" s="609" t="str">
        <f>IF(L367="","",IF(E367="","",IF('1B.TransitionalProg'!$H$8&gt;0,"",VLOOKUP($E367,' 1A.Prop&amp;Residents'!$P$41:$R$47,3,FALSE))))</f>
        <v/>
      </c>
      <c r="O367" s="610" t="str">
        <f>IF(L367="", "", IF(E367="", "", IF('1B.TransitionalProg'!$H$8&gt;0,"",IF(L367&lt;M367,"overHOUSED?",IF(L367&gt;N367, "OVERcrowded?","")))))</f>
        <v/>
      </c>
      <c r="P367" s="623"/>
      <c r="Q367" s="154"/>
      <c r="R367" s="154"/>
      <c r="S367" s="156"/>
      <c r="T367" s="156"/>
      <c r="U367" s="156"/>
      <c r="V367" s="156"/>
      <c r="W367" s="1580" t="str">
        <f t="shared" si="15"/>
        <v/>
      </c>
      <c r="X367" s="155"/>
      <c r="Y367" s="156"/>
      <c r="Z367" s="233" t="str">
        <f t="shared" si="16"/>
        <v/>
      </c>
      <c r="AA367" s="1447">
        <f>VLOOKUP($C367,'3B.Demographic'!$C$15:$N$414,6,FALSE)</f>
        <v>0</v>
      </c>
      <c r="AB367" s="1447">
        <f>VLOOKUP($C367,'3B.Demographic'!$C$15:$N$414,7,FALSE)</f>
        <v>0</v>
      </c>
      <c r="AC367" s="1447">
        <f>VLOOKUP($C367,'3B.Demographic'!$C$15:$N$414,8,FALSE)</f>
        <v>0</v>
      </c>
      <c r="AD367" s="1447">
        <f>VLOOKUP($C367,'3B.Demographic'!$C$15:$N$414,9,FALSE)</f>
        <v>0</v>
      </c>
      <c r="AE367" s="1447">
        <f>VLOOKUP($C367,'3B.Demographic'!$C$15:$N$414,10,FALSE)</f>
        <v>0</v>
      </c>
      <c r="AF367" s="1475">
        <f>VLOOKUP($C367,'3B.Demographic'!$C$15:$N$414,11,FALSE)</f>
        <v>0</v>
      </c>
      <c r="AG367" s="1229">
        <f>VLOOKUP($C367,'3B.Demographic'!$C$15:$N$414,12,FALSE)</f>
        <v>0</v>
      </c>
    </row>
    <row r="368" spans="1:33" ht="20.100000000000001" customHeight="1">
      <c r="A368" s="217" t="str">
        <f>IF(D368&lt;&gt;"", ' 1A.Prop&amp;Residents'!$B$7, "")</f>
        <v/>
      </c>
      <c r="B368" s="217" t="str">
        <f t="shared" si="17"/>
        <v/>
      </c>
      <c r="C368" s="34">
        <v>354</v>
      </c>
      <c r="D368" s="153"/>
      <c r="E368" s="154"/>
      <c r="F368" s="1775"/>
      <c r="G368" s="155"/>
      <c r="H368" s="156"/>
      <c r="I368" s="154"/>
      <c r="J368" s="157"/>
      <c r="K368" s="156"/>
      <c r="L368" s="154"/>
      <c r="M368" s="609" t="str">
        <f>IF(L368="","",IF(E368="","",IF('1B.TransitionalProg'!$H$8&gt;0,"",VLOOKUP($E368,' 1A.Prop&amp;Residents'!$P$41:$R$47,2,FALSE))))</f>
        <v/>
      </c>
      <c r="N368" s="609" t="str">
        <f>IF(L368="","",IF(E368="","",IF('1B.TransitionalProg'!$H$8&gt;0,"",VLOOKUP($E368,' 1A.Prop&amp;Residents'!$P$41:$R$47,3,FALSE))))</f>
        <v/>
      </c>
      <c r="O368" s="610" t="str">
        <f>IF(L368="", "", IF(E368="", "", IF('1B.TransitionalProg'!$H$8&gt;0,"",IF(L368&lt;M368,"overHOUSED?",IF(L368&gt;N368, "OVERcrowded?","")))))</f>
        <v/>
      </c>
      <c r="P368" s="623"/>
      <c r="Q368" s="154"/>
      <c r="R368" s="154"/>
      <c r="S368" s="156"/>
      <c r="T368" s="156"/>
      <c r="U368" s="156"/>
      <c r="V368" s="156"/>
      <c r="W368" s="1580" t="str">
        <f t="shared" si="15"/>
        <v/>
      </c>
      <c r="X368" s="155"/>
      <c r="Y368" s="156"/>
      <c r="Z368" s="233" t="str">
        <f t="shared" si="16"/>
        <v/>
      </c>
      <c r="AA368" s="1447">
        <f>VLOOKUP($C368,'3B.Demographic'!$C$15:$N$414,6,FALSE)</f>
        <v>0</v>
      </c>
      <c r="AB368" s="1447">
        <f>VLOOKUP($C368,'3B.Demographic'!$C$15:$N$414,7,FALSE)</f>
        <v>0</v>
      </c>
      <c r="AC368" s="1447">
        <f>VLOOKUP($C368,'3B.Demographic'!$C$15:$N$414,8,FALSE)</f>
        <v>0</v>
      </c>
      <c r="AD368" s="1447">
        <f>VLOOKUP($C368,'3B.Demographic'!$C$15:$N$414,9,FALSE)</f>
        <v>0</v>
      </c>
      <c r="AE368" s="1447">
        <f>VLOOKUP($C368,'3B.Demographic'!$C$15:$N$414,10,FALSE)</f>
        <v>0</v>
      </c>
      <c r="AF368" s="1475">
        <f>VLOOKUP($C368,'3B.Demographic'!$C$15:$N$414,11,FALSE)</f>
        <v>0</v>
      </c>
      <c r="AG368" s="1229">
        <f>VLOOKUP($C368,'3B.Demographic'!$C$15:$N$414,12,FALSE)</f>
        <v>0</v>
      </c>
    </row>
    <row r="369" spans="1:33" ht="20.100000000000001" customHeight="1">
      <c r="A369" s="217" t="str">
        <f>IF(D369&lt;&gt;"", ' 1A.Prop&amp;Residents'!$B$7, "")</f>
        <v/>
      </c>
      <c r="B369" s="217" t="str">
        <f t="shared" si="17"/>
        <v/>
      </c>
      <c r="C369" s="34">
        <v>355</v>
      </c>
      <c r="D369" s="153"/>
      <c r="E369" s="154"/>
      <c r="F369" s="1775"/>
      <c r="G369" s="155"/>
      <c r="H369" s="156"/>
      <c r="I369" s="154"/>
      <c r="J369" s="157"/>
      <c r="K369" s="156"/>
      <c r="L369" s="154"/>
      <c r="M369" s="609" t="str">
        <f>IF(L369="","",IF(E369="","",IF('1B.TransitionalProg'!$H$8&gt;0,"",VLOOKUP($E369,' 1A.Prop&amp;Residents'!$P$41:$R$47,2,FALSE))))</f>
        <v/>
      </c>
      <c r="N369" s="609" t="str">
        <f>IF(L369="","",IF(E369="","",IF('1B.TransitionalProg'!$H$8&gt;0,"",VLOOKUP($E369,' 1A.Prop&amp;Residents'!$P$41:$R$47,3,FALSE))))</f>
        <v/>
      </c>
      <c r="O369" s="610" t="str">
        <f>IF(L369="", "", IF(E369="", "", IF('1B.TransitionalProg'!$H$8&gt;0,"",IF(L369&lt;M369,"overHOUSED?",IF(L369&gt;N369, "OVERcrowded?","")))))</f>
        <v/>
      </c>
      <c r="P369" s="623"/>
      <c r="Q369" s="154"/>
      <c r="R369" s="154"/>
      <c r="S369" s="156"/>
      <c r="T369" s="156"/>
      <c r="U369" s="156"/>
      <c r="V369" s="156"/>
      <c r="W369" s="1580" t="str">
        <f t="shared" si="15"/>
        <v/>
      </c>
      <c r="X369" s="155"/>
      <c r="Y369" s="156"/>
      <c r="Z369" s="233" t="str">
        <f t="shared" si="16"/>
        <v/>
      </c>
      <c r="AA369" s="1447">
        <f>VLOOKUP($C369,'3B.Demographic'!$C$15:$N$414,6,FALSE)</f>
        <v>0</v>
      </c>
      <c r="AB369" s="1447">
        <f>VLOOKUP($C369,'3B.Demographic'!$C$15:$N$414,7,FALSE)</f>
        <v>0</v>
      </c>
      <c r="AC369" s="1447">
        <f>VLOOKUP($C369,'3B.Demographic'!$C$15:$N$414,8,FALSE)</f>
        <v>0</v>
      </c>
      <c r="AD369" s="1447">
        <f>VLOOKUP($C369,'3B.Demographic'!$C$15:$N$414,9,FALSE)</f>
        <v>0</v>
      </c>
      <c r="AE369" s="1447">
        <f>VLOOKUP($C369,'3B.Demographic'!$C$15:$N$414,10,FALSE)</f>
        <v>0</v>
      </c>
      <c r="AF369" s="1475">
        <f>VLOOKUP($C369,'3B.Demographic'!$C$15:$N$414,11,FALSE)</f>
        <v>0</v>
      </c>
      <c r="AG369" s="1229">
        <f>VLOOKUP($C369,'3B.Demographic'!$C$15:$N$414,12,FALSE)</f>
        <v>0</v>
      </c>
    </row>
    <row r="370" spans="1:33" ht="20.100000000000001" customHeight="1">
      <c r="A370" s="217" t="str">
        <f>IF(D370&lt;&gt;"", ' 1A.Prop&amp;Residents'!$B$7, "")</f>
        <v/>
      </c>
      <c r="B370" s="217" t="str">
        <f t="shared" si="17"/>
        <v/>
      </c>
      <c r="C370" s="34">
        <v>356</v>
      </c>
      <c r="D370" s="153"/>
      <c r="E370" s="154"/>
      <c r="F370" s="1775"/>
      <c r="G370" s="155"/>
      <c r="H370" s="156"/>
      <c r="I370" s="154"/>
      <c r="J370" s="157"/>
      <c r="K370" s="156"/>
      <c r="L370" s="154"/>
      <c r="M370" s="609" t="str">
        <f>IF(L370="","",IF(E370="","",IF('1B.TransitionalProg'!$H$8&gt;0,"",VLOOKUP($E370,' 1A.Prop&amp;Residents'!$P$41:$R$47,2,FALSE))))</f>
        <v/>
      </c>
      <c r="N370" s="609" t="str">
        <f>IF(L370="","",IF(E370="","",IF('1B.TransitionalProg'!$H$8&gt;0,"",VLOOKUP($E370,' 1A.Prop&amp;Residents'!$P$41:$R$47,3,FALSE))))</f>
        <v/>
      </c>
      <c r="O370" s="610" t="str">
        <f>IF(L370="", "", IF(E370="", "", IF('1B.TransitionalProg'!$H$8&gt;0,"",IF(L370&lt;M370,"overHOUSED?",IF(L370&gt;N370, "OVERcrowded?","")))))</f>
        <v/>
      </c>
      <c r="P370" s="623"/>
      <c r="Q370" s="154"/>
      <c r="R370" s="154"/>
      <c r="S370" s="156"/>
      <c r="T370" s="156"/>
      <c r="U370" s="156"/>
      <c r="V370" s="156"/>
      <c r="W370" s="1580" t="str">
        <f t="shared" si="15"/>
        <v/>
      </c>
      <c r="X370" s="155"/>
      <c r="Y370" s="156"/>
      <c r="Z370" s="233" t="str">
        <f t="shared" si="16"/>
        <v/>
      </c>
      <c r="AA370" s="1447">
        <f>VLOOKUP($C370,'3B.Demographic'!$C$15:$N$414,6,FALSE)</f>
        <v>0</v>
      </c>
      <c r="AB370" s="1447">
        <f>VLOOKUP($C370,'3B.Demographic'!$C$15:$N$414,7,FALSE)</f>
        <v>0</v>
      </c>
      <c r="AC370" s="1447">
        <f>VLOOKUP($C370,'3B.Demographic'!$C$15:$N$414,8,FALSE)</f>
        <v>0</v>
      </c>
      <c r="AD370" s="1447">
        <f>VLOOKUP($C370,'3B.Demographic'!$C$15:$N$414,9,FALSE)</f>
        <v>0</v>
      </c>
      <c r="AE370" s="1447">
        <f>VLOOKUP($C370,'3B.Demographic'!$C$15:$N$414,10,FALSE)</f>
        <v>0</v>
      </c>
      <c r="AF370" s="1475">
        <f>VLOOKUP($C370,'3B.Demographic'!$C$15:$N$414,11,FALSE)</f>
        <v>0</v>
      </c>
      <c r="AG370" s="1229">
        <f>VLOOKUP($C370,'3B.Demographic'!$C$15:$N$414,12,FALSE)</f>
        <v>0</v>
      </c>
    </row>
    <row r="371" spans="1:33" ht="20.100000000000001" customHeight="1">
      <c r="A371" s="217" t="str">
        <f>IF(D371&lt;&gt;"", ' 1A.Prop&amp;Residents'!$B$7, "")</f>
        <v/>
      </c>
      <c r="B371" s="217" t="str">
        <f t="shared" si="17"/>
        <v/>
      </c>
      <c r="C371" s="34">
        <v>357</v>
      </c>
      <c r="D371" s="153"/>
      <c r="E371" s="154"/>
      <c r="F371" s="1775"/>
      <c r="G371" s="155"/>
      <c r="H371" s="156"/>
      <c r="I371" s="154"/>
      <c r="J371" s="157"/>
      <c r="K371" s="156"/>
      <c r="L371" s="154"/>
      <c r="M371" s="609" t="str">
        <f>IF(L371="","",IF(E371="","",IF('1B.TransitionalProg'!$H$8&gt;0,"",VLOOKUP($E371,' 1A.Prop&amp;Residents'!$P$41:$R$47,2,FALSE))))</f>
        <v/>
      </c>
      <c r="N371" s="609" t="str">
        <f>IF(L371="","",IF(E371="","",IF('1B.TransitionalProg'!$H$8&gt;0,"",VLOOKUP($E371,' 1A.Prop&amp;Residents'!$P$41:$R$47,3,FALSE))))</f>
        <v/>
      </c>
      <c r="O371" s="610" t="str">
        <f>IF(L371="", "", IF(E371="", "", IF('1B.TransitionalProg'!$H$8&gt;0,"",IF(L371&lt;M371,"overHOUSED?",IF(L371&gt;N371, "OVERcrowded?","")))))</f>
        <v/>
      </c>
      <c r="P371" s="623"/>
      <c r="Q371" s="154"/>
      <c r="R371" s="154"/>
      <c r="S371" s="156"/>
      <c r="T371" s="156"/>
      <c r="U371" s="156"/>
      <c r="V371" s="156"/>
      <c r="W371" s="1580" t="str">
        <f t="shared" si="15"/>
        <v/>
      </c>
      <c r="X371" s="155"/>
      <c r="Y371" s="156"/>
      <c r="Z371" s="233" t="str">
        <f t="shared" si="16"/>
        <v/>
      </c>
      <c r="AA371" s="1447">
        <f>VLOOKUP($C371,'3B.Demographic'!$C$15:$N$414,6,FALSE)</f>
        <v>0</v>
      </c>
      <c r="AB371" s="1447">
        <f>VLOOKUP($C371,'3B.Demographic'!$C$15:$N$414,7,FALSE)</f>
        <v>0</v>
      </c>
      <c r="AC371" s="1447">
        <f>VLOOKUP($C371,'3B.Demographic'!$C$15:$N$414,8,FALSE)</f>
        <v>0</v>
      </c>
      <c r="AD371" s="1447">
        <f>VLOOKUP($C371,'3B.Demographic'!$C$15:$N$414,9,FALSE)</f>
        <v>0</v>
      </c>
      <c r="AE371" s="1447">
        <f>VLOOKUP($C371,'3B.Demographic'!$C$15:$N$414,10,FALSE)</f>
        <v>0</v>
      </c>
      <c r="AF371" s="1475">
        <f>VLOOKUP($C371,'3B.Demographic'!$C$15:$N$414,11,FALSE)</f>
        <v>0</v>
      </c>
      <c r="AG371" s="1229">
        <f>VLOOKUP($C371,'3B.Demographic'!$C$15:$N$414,12,FALSE)</f>
        <v>0</v>
      </c>
    </row>
    <row r="372" spans="1:33" ht="20.100000000000001" customHeight="1">
      <c r="A372" s="217" t="str">
        <f>IF(D372&lt;&gt;"", ' 1A.Prop&amp;Residents'!$B$7, "")</f>
        <v/>
      </c>
      <c r="B372" s="217" t="str">
        <f t="shared" si="17"/>
        <v/>
      </c>
      <c r="C372" s="34">
        <v>358</v>
      </c>
      <c r="D372" s="153"/>
      <c r="E372" s="154"/>
      <c r="F372" s="1775"/>
      <c r="G372" s="155"/>
      <c r="H372" s="156"/>
      <c r="I372" s="154"/>
      <c r="J372" s="157"/>
      <c r="K372" s="156"/>
      <c r="L372" s="154"/>
      <c r="M372" s="609" t="str">
        <f>IF(L372="","",IF(E372="","",IF('1B.TransitionalProg'!$H$8&gt;0,"",VLOOKUP($E372,' 1A.Prop&amp;Residents'!$P$41:$R$47,2,FALSE))))</f>
        <v/>
      </c>
      <c r="N372" s="609" t="str">
        <f>IF(L372="","",IF(E372="","",IF('1B.TransitionalProg'!$H$8&gt;0,"",VLOOKUP($E372,' 1A.Prop&amp;Residents'!$P$41:$R$47,3,FALSE))))</f>
        <v/>
      </c>
      <c r="O372" s="610" t="str">
        <f>IF(L372="", "", IF(E372="", "", IF('1B.TransitionalProg'!$H$8&gt;0,"",IF(L372&lt;M372,"overHOUSED?",IF(L372&gt;N372, "OVERcrowded?","")))))</f>
        <v/>
      </c>
      <c r="P372" s="623"/>
      <c r="Q372" s="154"/>
      <c r="R372" s="154"/>
      <c r="S372" s="156"/>
      <c r="T372" s="156"/>
      <c r="U372" s="156"/>
      <c r="V372" s="156"/>
      <c r="W372" s="1580" t="str">
        <f t="shared" si="15"/>
        <v/>
      </c>
      <c r="X372" s="155"/>
      <c r="Y372" s="156"/>
      <c r="Z372" s="233" t="str">
        <f t="shared" si="16"/>
        <v/>
      </c>
      <c r="AA372" s="1447">
        <f>VLOOKUP($C372,'3B.Demographic'!$C$15:$N$414,6,FALSE)</f>
        <v>0</v>
      </c>
      <c r="AB372" s="1447">
        <f>VLOOKUP($C372,'3B.Demographic'!$C$15:$N$414,7,FALSE)</f>
        <v>0</v>
      </c>
      <c r="AC372" s="1447">
        <f>VLOOKUP($C372,'3B.Demographic'!$C$15:$N$414,8,FALSE)</f>
        <v>0</v>
      </c>
      <c r="AD372" s="1447">
        <f>VLOOKUP($C372,'3B.Demographic'!$C$15:$N$414,9,FALSE)</f>
        <v>0</v>
      </c>
      <c r="AE372" s="1447">
        <f>VLOOKUP($C372,'3B.Demographic'!$C$15:$N$414,10,FALSE)</f>
        <v>0</v>
      </c>
      <c r="AF372" s="1475">
        <f>VLOOKUP($C372,'3B.Demographic'!$C$15:$N$414,11,FALSE)</f>
        <v>0</v>
      </c>
      <c r="AG372" s="1229">
        <f>VLOOKUP($C372,'3B.Demographic'!$C$15:$N$414,12,FALSE)</f>
        <v>0</v>
      </c>
    </row>
    <row r="373" spans="1:33" ht="20.100000000000001" customHeight="1">
      <c r="A373" s="217" t="str">
        <f>IF(D373&lt;&gt;"", ' 1A.Prop&amp;Residents'!$B$7, "")</f>
        <v/>
      </c>
      <c r="B373" s="217" t="str">
        <f t="shared" si="17"/>
        <v/>
      </c>
      <c r="C373" s="34">
        <v>359</v>
      </c>
      <c r="D373" s="153"/>
      <c r="E373" s="154"/>
      <c r="F373" s="1775"/>
      <c r="G373" s="155"/>
      <c r="H373" s="156"/>
      <c r="I373" s="154"/>
      <c r="J373" s="157"/>
      <c r="K373" s="156"/>
      <c r="L373" s="154"/>
      <c r="M373" s="609" t="str">
        <f>IF(L373="","",IF(E373="","",IF('1B.TransitionalProg'!$H$8&gt;0,"",VLOOKUP($E373,' 1A.Prop&amp;Residents'!$P$41:$R$47,2,FALSE))))</f>
        <v/>
      </c>
      <c r="N373" s="609" t="str">
        <f>IF(L373="","",IF(E373="","",IF('1B.TransitionalProg'!$H$8&gt;0,"",VLOOKUP($E373,' 1A.Prop&amp;Residents'!$P$41:$R$47,3,FALSE))))</f>
        <v/>
      </c>
      <c r="O373" s="610" t="str">
        <f>IF(L373="", "", IF(E373="", "", IF('1B.TransitionalProg'!$H$8&gt;0,"",IF(L373&lt;M373,"overHOUSED?",IF(L373&gt;N373, "OVERcrowded?","")))))</f>
        <v/>
      </c>
      <c r="P373" s="623"/>
      <c r="Q373" s="154"/>
      <c r="R373" s="154"/>
      <c r="S373" s="156"/>
      <c r="T373" s="156"/>
      <c r="U373" s="156"/>
      <c r="V373" s="156"/>
      <c r="W373" s="1580" t="str">
        <f t="shared" si="15"/>
        <v/>
      </c>
      <c r="X373" s="155"/>
      <c r="Y373" s="156"/>
      <c r="Z373" s="233" t="str">
        <f t="shared" si="16"/>
        <v/>
      </c>
      <c r="AA373" s="1447">
        <f>VLOOKUP($C373,'3B.Demographic'!$C$15:$N$414,6,FALSE)</f>
        <v>0</v>
      </c>
      <c r="AB373" s="1447">
        <f>VLOOKUP($C373,'3B.Demographic'!$C$15:$N$414,7,FALSE)</f>
        <v>0</v>
      </c>
      <c r="AC373" s="1447">
        <f>VLOOKUP($C373,'3B.Demographic'!$C$15:$N$414,8,FALSE)</f>
        <v>0</v>
      </c>
      <c r="AD373" s="1447">
        <f>VLOOKUP($C373,'3B.Demographic'!$C$15:$N$414,9,FALSE)</f>
        <v>0</v>
      </c>
      <c r="AE373" s="1447">
        <f>VLOOKUP($C373,'3B.Demographic'!$C$15:$N$414,10,FALSE)</f>
        <v>0</v>
      </c>
      <c r="AF373" s="1475">
        <f>VLOOKUP($C373,'3B.Demographic'!$C$15:$N$414,11,FALSE)</f>
        <v>0</v>
      </c>
      <c r="AG373" s="1229">
        <f>VLOOKUP($C373,'3B.Demographic'!$C$15:$N$414,12,FALSE)</f>
        <v>0</v>
      </c>
    </row>
    <row r="374" spans="1:33" ht="20.100000000000001" customHeight="1">
      <c r="A374" s="217" t="str">
        <f>IF(D374&lt;&gt;"", ' 1A.Prop&amp;Residents'!$B$7, "")</f>
        <v/>
      </c>
      <c r="B374" s="217" t="str">
        <f t="shared" si="17"/>
        <v/>
      </c>
      <c r="C374" s="34">
        <v>360</v>
      </c>
      <c r="D374" s="153"/>
      <c r="E374" s="154"/>
      <c r="F374" s="1775"/>
      <c r="G374" s="155"/>
      <c r="H374" s="156"/>
      <c r="I374" s="154"/>
      <c r="J374" s="157"/>
      <c r="K374" s="156"/>
      <c r="L374" s="154"/>
      <c r="M374" s="609" t="str">
        <f>IF(L374="","",IF(E374="","",IF('1B.TransitionalProg'!$H$8&gt;0,"",VLOOKUP($E374,' 1A.Prop&amp;Residents'!$P$41:$R$47,2,FALSE))))</f>
        <v/>
      </c>
      <c r="N374" s="609" t="str">
        <f>IF(L374="","",IF(E374="","",IF('1B.TransitionalProg'!$H$8&gt;0,"",VLOOKUP($E374,' 1A.Prop&amp;Residents'!$P$41:$R$47,3,FALSE))))</f>
        <v/>
      </c>
      <c r="O374" s="610" t="str">
        <f>IF(L374="", "", IF(E374="", "", IF('1B.TransitionalProg'!$H$8&gt;0,"",IF(L374&lt;M374,"overHOUSED?",IF(L374&gt;N374, "OVERcrowded?","")))))</f>
        <v/>
      </c>
      <c r="P374" s="623"/>
      <c r="Q374" s="154"/>
      <c r="R374" s="154"/>
      <c r="S374" s="156"/>
      <c r="T374" s="156"/>
      <c r="U374" s="156"/>
      <c r="V374" s="156"/>
      <c r="W374" s="1580" t="str">
        <f t="shared" si="15"/>
        <v/>
      </c>
      <c r="X374" s="155"/>
      <c r="Y374" s="156"/>
      <c r="Z374" s="233" t="str">
        <f t="shared" si="16"/>
        <v/>
      </c>
      <c r="AA374" s="1447">
        <f>VLOOKUP($C374,'3B.Demographic'!$C$15:$N$414,6,FALSE)</f>
        <v>0</v>
      </c>
      <c r="AB374" s="1447">
        <f>VLOOKUP($C374,'3B.Demographic'!$C$15:$N$414,7,FALSE)</f>
        <v>0</v>
      </c>
      <c r="AC374" s="1447">
        <f>VLOOKUP($C374,'3B.Demographic'!$C$15:$N$414,8,FALSE)</f>
        <v>0</v>
      </c>
      <c r="AD374" s="1447">
        <f>VLOOKUP($C374,'3B.Demographic'!$C$15:$N$414,9,FALSE)</f>
        <v>0</v>
      </c>
      <c r="AE374" s="1447">
        <f>VLOOKUP($C374,'3B.Demographic'!$C$15:$N$414,10,FALSE)</f>
        <v>0</v>
      </c>
      <c r="AF374" s="1475">
        <f>VLOOKUP($C374,'3B.Demographic'!$C$15:$N$414,11,FALSE)</f>
        <v>0</v>
      </c>
      <c r="AG374" s="1229">
        <f>VLOOKUP($C374,'3B.Demographic'!$C$15:$N$414,12,FALSE)</f>
        <v>0</v>
      </c>
    </row>
    <row r="375" spans="1:33" ht="20.100000000000001" customHeight="1">
      <c r="A375" s="217" t="str">
        <f>IF(D375&lt;&gt;"", ' 1A.Prop&amp;Residents'!$B$7, "")</f>
        <v/>
      </c>
      <c r="B375" s="217" t="str">
        <f t="shared" si="17"/>
        <v/>
      </c>
      <c r="C375" s="34">
        <v>361</v>
      </c>
      <c r="D375" s="153"/>
      <c r="E375" s="154"/>
      <c r="F375" s="1775"/>
      <c r="G375" s="155"/>
      <c r="H375" s="156"/>
      <c r="I375" s="154"/>
      <c r="J375" s="157"/>
      <c r="K375" s="156"/>
      <c r="L375" s="154"/>
      <c r="M375" s="609" t="str">
        <f>IF(L375="","",IF(E375="","",IF('1B.TransitionalProg'!$H$8&gt;0,"",VLOOKUP($E375,' 1A.Prop&amp;Residents'!$P$41:$R$47,2,FALSE))))</f>
        <v/>
      </c>
      <c r="N375" s="609" t="str">
        <f>IF(L375="","",IF(E375="","",IF('1B.TransitionalProg'!$H$8&gt;0,"",VLOOKUP($E375,' 1A.Prop&amp;Residents'!$P$41:$R$47,3,FALSE))))</f>
        <v/>
      </c>
      <c r="O375" s="610" t="str">
        <f>IF(L375="", "", IF(E375="", "", IF('1B.TransitionalProg'!$H$8&gt;0,"",IF(L375&lt;M375,"overHOUSED?",IF(L375&gt;N375, "OVERcrowded?","")))))</f>
        <v/>
      </c>
      <c r="P375" s="623"/>
      <c r="Q375" s="154"/>
      <c r="R375" s="154"/>
      <c r="S375" s="156"/>
      <c r="T375" s="156"/>
      <c r="U375" s="156"/>
      <c r="V375" s="156"/>
      <c r="W375" s="1580" t="str">
        <f t="shared" si="15"/>
        <v/>
      </c>
      <c r="X375" s="155"/>
      <c r="Y375" s="156"/>
      <c r="Z375" s="233" t="str">
        <f t="shared" si="16"/>
        <v/>
      </c>
      <c r="AA375" s="1447">
        <f>VLOOKUP($C375,'3B.Demographic'!$C$15:$N$414,6,FALSE)</f>
        <v>0</v>
      </c>
      <c r="AB375" s="1447">
        <f>VLOOKUP($C375,'3B.Demographic'!$C$15:$N$414,7,FALSE)</f>
        <v>0</v>
      </c>
      <c r="AC375" s="1447">
        <f>VLOOKUP($C375,'3B.Demographic'!$C$15:$N$414,8,FALSE)</f>
        <v>0</v>
      </c>
      <c r="AD375" s="1447">
        <f>VLOOKUP($C375,'3B.Demographic'!$C$15:$N$414,9,FALSE)</f>
        <v>0</v>
      </c>
      <c r="AE375" s="1447">
        <f>VLOOKUP($C375,'3B.Demographic'!$C$15:$N$414,10,FALSE)</f>
        <v>0</v>
      </c>
      <c r="AF375" s="1475">
        <f>VLOOKUP($C375,'3B.Demographic'!$C$15:$N$414,11,FALSE)</f>
        <v>0</v>
      </c>
      <c r="AG375" s="1229">
        <f>VLOOKUP($C375,'3B.Demographic'!$C$15:$N$414,12,FALSE)</f>
        <v>0</v>
      </c>
    </row>
    <row r="376" spans="1:33" ht="20.100000000000001" customHeight="1">
      <c r="A376" s="217" t="str">
        <f>IF(D376&lt;&gt;"", ' 1A.Prop&amp;Residents'!$B$7, "")</f>
        <v/>
      </c>
      <c r="B376" s="217" t="str">
        <f t="shared" si="17"/>
        <v/>
      </c>
      <c r="C376" s="34">
        <v>362</v>
      </c>
      <c r="D376" s="153"/>
      <c r="E376" s="154"/>
      <c r="F376" s="1775"/>
      <c r="G376" s="155"/>
      <c r="H376" s="156"/>
      <c r="I376" s="154"/>
      <c r="J376" s="157"/>
      <c r="K376" s="156"/>
      <c r="L376" s="154"/>
      <c r="M376" s="609" t="str">
        <f>IF(L376="","",IF(E376="","",IF('1B.TransitionalProg'!$H$8&gt;0,"",VLOOKUP($E376,' 1A.Prop&amp;Residents'!$P$41:$R$47,2,FALSE))))</f>
        <v/>
      </c>
      <c r="N376" s="609" t="str">
        <f>IF(L376="","",IF(E376="","",IF('1B.TransitionalProg'!$H$8&gt;0,"",VLOOKUP($E376,' 1A.Prop&amp;Residents'!$P$41:$R$47,3,FALSE))))</f>
        <v/>
      </c>
      <c r="O376" s="610" t="str">
        <f>IF(L376="", "", IF(E376="", "", IF('1B.TransitionalProg'!$H$8&gt;0,"",IF(L376&lt;M376,"overHOUSED?",IF(L376&gt;N376, "OVERcrowded?","")))))</f>
        <v/>
      </c>
      <c r="P376" s="623"/>
      <c r="Q376" s="154"/>
      <c r="R376" s="154"/>
      <c r="S376" s="156"/>
      <c r="T376" s="156"/>
      <c r="U376" s="156"/>
      <c r="V376" s="156"/>
      <c r="W376" s="1580" t="str">
        <f t="shared" si="15"/>
        <v/>
      </c>
      <c r="X376" s="155"/>
      <c r="Y376" s="156"/>
      <c r="Z376" s="233" t="str">
        <f t="shared" si="16"/>
        <v/>
      </c>
      <c r="AA376" s="1447">
        <f>VLOOKUP($C376,'3B.Demographic'!$C$15:$N$414,6,FALSE)</f>
        <v>0</v>
      </c>
      <c r="AB376" s="1447">
        <f>VLOOKUP($C376,'3B.Demographic'!$C$15:$N$414,7,FALSE)</f>
        <v>0</v>
      </c>
      <c r="AC376" s="1447">
        <f>VLOOKUP($C376,'3B.Demographic'!$C$15:$N$414,8,FALSE)</f>
        <v>0</v>
      </c>
      <c r="AD376" s="1447">
        <f>VLOOKUP($C376,'3B.Demographic'!$C$15:$N$414,9,FALSE)</f>
        <v>0</v>
      </c>
      <c r="AE376" s="1447">
        <f>VLOOKUP($C376,'3B.Demographic'!$C$15:$N$414,10,FALSE)</f>
        <v>0</v>
      </c>
      <c r="AF376" s="1475">
        <f>VLOOKUP($C376,'3B.Demographic'!$C$15:$N$414,11,FALSE)</f>
        <v>0</v>
      </c>
      <c r="AG376" s="1229">
        <f>VLOOKUP($C376,'3B.Demographic'!$C$15:$N$414,12,FALSE)</f>
        <v>0</v>
      </c>
    </row>
    <row r="377" spans="1:33" ht="20.100000000000001" customHeight="1">
      <c r="A377" s="217" t="str">
        <f>IF(D377&lt;&gt;"", ' 1A.Prop&amp;Residents'!$B$7, "")</f>
        <v/>
      </c>
      <c r="B377" s="217" t="str">
        <f t="shared" si="17"/>
        <v/>
      </c>
      <c r="C377" s="34">
        <v>363</v>
      </c>
      <c r="D377" s="153"/>
      <c r="E377" s="154"/>
      <c r="F377" s="1775"/>
      <c r="G377" s="155"/>
      <c r="H377" s="156"/>
      <c r="I377" s="154"/>
      <c r="J377" s="157"/>
      <c r="K377" s="156"/>
      <c r="L377" s="154"/>
      <c r="M377" s="609" t="str">
        <f>IF(L377="","",IF(E377="","",IF('1B.TransitionalProg'!$H$8&gt;0,"",VLOOKUP($E377,' 1A.Prop&amp;Residents'!$P$41:$R$47,2,FALSE))))</f>
        <v/>
      </c>
      <c r="N377" s="609" t="str">
        <f>IF(L377="","",IF(E377="","",IF('1B.TransitionalProg'!$H$8&gt;0,"",VLOOKUP($E377,' 1A.Prop&amp;Residents'!$P$41:$R$47,3,FALSE))))</f>
        <v/>
      </c>
      <c r="O377" s="610" t="str">
        <f>IF(L377="", "", IF(E377="", "", IF('1B.TransitionalProg'!$H$8&gt;0,"",IF(L377&lt;M377,"overHOUSED?",IF(L377&gt;N377, "OVERcrowded?","")))))</f>
        <v/>
      </c>
      <c r="P377" s="623"/>
      <c r="Q377" s="154"/>
      <c r="R377" s="154"/>
      <c r="S377" s="156"/>
      <c r="T377" s="156"/>
      <c r="U377" s="156"/>
      <c r="V377" s="156"/>
      <c r="W377" s="1580" t="str">
        <f t="shared" si="15"/>
        <v/>
      </c>
      <c r="X377" s="155"/>
      <c r="Y377" s="156"/>
      <c r="Z377" s="233" t="str">
        <f t="shared" si="16"/>
        <v/>
      </c>
      <c r="AA377" s="1447">
        <f>VLOOKUP($C377,'3B.Demographic'!$C$15:$N$414,6,FALSE)</f>
        <v>0</v>
      </c>
      <c r="AB377" s="1447">
        <f>VLOOKUP($C377,'3B.Demographic'!$C$15:$N$414,7,FALSE)</f>
        <v>0</v>
      </c>
      <c r="AC377" s="1447">
        <f>VLOOKUP($C377,'3B.Demographic'!$C$15:$N$414,8,FALSE)</f>
        <v>0</v>
      </c>
      <c r="AD377" s="1447">
        <f>VLOOKUP($C377,'3B.Demographic'!$C$15:$N$414,9,FALSE)</f>
        <v>0</v>
      </c>
      <c r="AE377" s="1447">
        <f>VLOOKUP($C377,'3B.Demographic'!$C$15:$N$414,10,FALSE)</f>
        <v>0</v>
      </c>
      <c r="AF377" s="1475">
        <f>VLOOKUP($C377,'3B.Demographic'!$C$15:$N$414,11,FALSE)</f>
        <v>0</v>
      </c>
      <c r="AG377" s="1229">
        <f>VLOOKUP($C377,'3B.Demographic'!$C$15:$N$414,12,FALSE)</f>
        <v>0</v>
      </c>
    </row>
    <row r="378" spans="1:33" ht="20.100000000000001" customHeight="1">
      <c r="A378" s="217" t="str">
        <f>IF(D378&lt;&gt;"", ' 1A.Prop&amp;Residents'!$B$7, "")</f>
        <v/>
      </c>
      <c r="B378" s="217" t="str">
        <f t="shared" si="17"/>
        <v/>
      </c>
      <c r="C378" s="34">
        <v>364</v>
      </c>
      <c r="D378" s="153"/>
      <c r="E378" s="154"/>
      <c r="F378" s="1775"/>
      <c r="G378" s="155"/>
      <c r="H378" s="156"/>
      <c r="I378" s="154"/>
      <c r="J378" s="157"/>
      <c r="K378" s="156"/>
      <c r="L378" s="154"/>
      <c r="M378" s="609" t="str">
        <f>IF(L378="","",IF(E378="","",IF('1B.TransitionalProg'!$H$8&gt;0,"",VLOOKUP($E378,' 1A.Prop&amp;Residents'!$P$41:$R$47,2,FALSE))))</f>
        <v/>
      </c>
      <c r="N378" s="609" t="str">
        <f>IF(L378="","",IF(E378="","",IF('1B.TransitionalProg'!$H$8&gt;0,"",VLOOKUP($E378,' 1A.Prop&amp;Residents'!$P$41:$R$47,3,FALSE))))</f>
        <v/>
      </c>
      <c r="O378" s="610" t="str">
        <f>IF(L378="", "", IF(E378="", "", IF('1B.TransitionalProg'!$H$8&gt;0,"",IF(L378&lt;M378,"overHOUSED?",IF(L378&gt;N378, "OVERcrowded?","")))))</f>
        <v/>
      </c>
      <c r="P378" s="623"/>
      <c r="Q378" s="154"/>
      <c r="R378" s="154"/>
      <c r="S378" s="156"/>
      <c r="T378" s="156"/>
      <c r="U378" s="156"/>
      <c r="V378" s="156"/>
      <c r="W378" s="1580" t="str">
        <f t="shared" si="15"/>
        <v/>
      </c>
      <c r="X378" s="155"/>
      <c r="Y378" s="156"/>
      <c r="Z378" s="233" t="str">
        <f t="shared" si="16"/>
        <v/>
      </c>
      <c r="AA378" s="1447">
        <f>VLOOKUP($C378,'3B.Demographic'!$C$15:$N$414,6,FALSE)</f>
        <v>0</v>
      </c>
      <c r="AB378" s="1447">
        <f>VLOOKUP($C378,'3B.Demographic'!$C$15:$N$414,7,FALSE)</f>
        <v>0</v>
      </c>
      <c r="AC378" s="1447">
        <f>VLOOKUP($C378,'3B.Demographic'!$C$15:$N$414,8,FALSE)</f>
        <v>0</v>
      </c>
      <c r="AD378" s="1447">
        <f>VLOOKUP($C378,'3B.Demographic'!$C$15:$N$414,9,FALSE)</f>
        <v>0</v>
      </c>
      <c r="AE378" s="1447">
        <f>VLOOKUP($C378,'3B.Demographic'!$C$15:$N$414,10,FALSE)</f>
        <v>0</v>
      </c>
      <c r="AF378" s="1475">
        <f>VLOOKUP($C378,'3B.Demographic'!$C$15:$N$414,11,FALSE)</f>
        <v>0</v>
      </c>
      <c r="AG378" s="1229">
        <f>VLOOKUP($C378,'3B.Demographic'!$C$15:$N$414,12,FALSE)</f>
        <v>0</v>
      </c>
    </row>
    <row r="379" spans="1:33" ht="20.100000000000001" customHeight="1">
      <c r="A379" s="217" t="str">
        <f>IF(D379&lt;&gt;"", ' 1A.Prop&amp;Residents'!$B$7, "")</f>
        <v/>
      </c>
      <c r="B379" s="217" t="str">
        <f t="shared" si="17"/>
        <v/>
      </c>
      <c r="C379" s="34">
        <v>365</v>
      </c>
      <c r="D379" s="153"/>
      <c r="E379" s="154"/>
      <c r="F379" s="1775"/>
      <c r="G379" s="155"/>
      <c r="H379" s="156"/>
      <c r="I379" s="154"/>
      <c r="J379" s="157"/>
      <c r="K379" s="156"/>
      <c r="L379" s="154"/>
      <c r="M379" s="609" t="str">
        <f>IF(L379="","",IF(E379="","",IF('1B.TransitionalProg'!$H$8&gt;0,"",VLOOKUP($E379,' 1A.Prop&amp;Residents'!$P$41:$R$47,2,FALSE))))</f>
        <v/>
      </c>
      <c r="N379" s="609" t="str">
        <f>IF(L379="","",IF(E379="","",IF('1B.TransitionalProg'!$H$8&gt;0,"",VLOOKUP($E379,' 1A.Prop&amp;Residents'!$P$41:$R$47,3,FALSE))))</f>
        <v/>
      </c>
      <c r="O379" s="610" t="str">
        <f>IF(L379="", "", IF(E379="", "", IF('1B.TransitionalProg'!$H$8&gt;0,"",IF(L379&lt;M379,"overHOUSED?",IF(L379&gt;N379, "OVERcrowded?","")))))</f>
        <v/>
      </c>
      <c r="P379" s="623"/>
      <c r="Q379" s="154"/>
      <c r="R379" s="154"/>
      <c r="S379" s="156"/>
      <c r="T379" s="156"/>
      <c r="U379" s="156"/>
      <c r="V379" s="156"/>
      <c r="W379" s="1580" t="str">
        <f t="shared" si="15"/>
        <v/>
      </c>
      <c r="X379" s="155"/>
      <c r="Y379" s="156"/>
      <c r="Z379" s="233" t="str">
        <f t="shared" si="16"/>
        <v/>
      </c>
      <c r="AA379" s="1447">
        <f>VLOOKUP($C379,'3B.Demographic'!$C$15:$N$414,6,FALSE)</f>
        <v>0</v>
      </c>
      <c r="AB379" s="1447">
        <f>VLOOKUP($C379,'3B.Demographic'!$C$15:$N$414,7,FALSE)</f>
        <v>0</v>
      </c>
      <c r="AC379" s="1447">
        <f>VLOOKUP($C379,'3B.Demographic'!$C$15:$N$414,8,FALSE)</f>
        <v>0</v>
      </c>
      <c r="AD379" s="1447">
        <f>VLOOKUP($C379,'3B.Demographic'!$C$15:$N$414,9,FALSE)</f>
        <v>0</v>
      </c>
      <c r="AE379" s="1447">
        <f>VLOOKUP($C379,'3B.Demographic'!$C$15:$N$414,10,FALSE)</f>
        <v>0</v>
      </c>
      <c r="AF379" s="1475">
        <f>VLOOKUP($C379,'3B.Demographic'!$C$15:$N$414,11,FALSE)</f>
        <v>0</v>
      </c>
      <c r="AG379" s="1229">
        <f>VLOOKUP($C379,'3B.Demographic'!$C$15:$N$414,12,FALSE)</f>
        <v>0</v>
      </c>
    </row>
    <row r="380" spans="1:33" ht="20.100000000000001" customHeight="1">
      <c r="A380" s="217" t="str">
        <f>IF(D380&lt;&gt;"", ' 1A.Prop&amp;Residents'!$B$7, "")</f>
        <v/>
      </c>
      <c r="B380" s="217" t="str">
        <f t="shared" si="17"/>
        <v/>
      </c>
      <c r="C380" s="34">
        <v>366</v>
      </c>
      <c r="D380" s="153"/>
      <c r="E380" s="154"/>
      <c r="F380" s="1775"/>
      <c r="G380" s="155"/>
      <c r="H380" s="156"/>
      <c r="I380" s="154"/>
      <c r="J380" s="157"/>
      <c r="K380" s="156"/>
      <c r="L380" s="154"/>
      <c r="M380" s="609" t="str">
        <f>IF(L380="","",IF(E380="","",IF('1B.TransitionalProg'!$H$8&gt;0,"",VLOOKUP($E380,' 1A.Prop&amp;Residents'!$P$41:$R$47,2,FALSE))))</f>
        <v/>
      </c>
      <c r="N380" s="609" t="str">
        <f>IF(L380="","",IF(E380="","",IF('1B.TransitionalProg'!$H$8&gt;0,"",VLOOKUP($E380,' 1A.Prop&amp;Residents'!$P$41:$R$47,3,FALSE))))</f>
        <v/>
      </c>
      <c r="O380" s="610" t="str">
        <f>IF(L380="", "", IF(E380="", "", IF('1B.TransitionalProg'!$H$8&gt;0,"",IF(L380&lt;M380,"overHOUSED?",IF(L380&gt;N380, "OVERcrowded?","")))))</f>
        <v/>
      </c>
      <c r="P380" s="623"/>
      <c r="Q380" s="154"/>
      <c r="R380" s="154"/>
      <c r="S380" s="156"/>
      <c r="T380" s="156"/>
      <c r="U380" s="156"/>
      <c r="V380" s="156"/>
      <c r="W380" s="1580" t="str">
        <f t="shared" si="15"/>
        <v/>
      </c>
      <c r="X380" s="155"/>
      <c r="Y380" s="156"/>
      <c r="Z380" s="233" t="str">
        <f t="shared" si="16"/>
        <v/>
      </c>
      <c r="AA380" s="1447">
        <f>VLOOKUP($C380,'3B.Demographic'!$C$15:$N$414,6,FALSE)</f>
        <v>0</v>
      </c>
      <c r="AB380" s="1447">
        <f>VLOOKUP($C380,'3B.Demographic'!$C$15:$N$414,7,FALSE)</f>
        <v>0</v>
      </c>
      <c r="AC380" s="1447">
        <f>VLOOKUP($C380,'3B.Demographic'!$C$15:$N$414,8,FALSE)</f>
        <v>0</v>
      </c>
      <c r="AD380" s="1447">
        <f>VLOOKUP($C380,'3B.Demographic'!$C$15:$N$414,9,FALSE)</f>
        <v>0</v>
      </c>
      <c r="AE380" s="1447">
        <f>VLOOKUP($C380,'3B.Demographic'!$C$15:$N$414,10,FALSE)</f>
        <v>0</v>
      </c>
      <c r="AF380" s="1475">
        <f>VLOOKUP($C380,'3B.Demographic'!$C$15:$N$414,11,FALSE)</f>
        <v>0</v>
      </c>
      <c r="AG380" s="1229">
        <f>VLOOKUP($C380,'3B.Demographic'!$C$15:$N$414,12,FALSE)</f>
        <v>0</v>
      </c>
    </row>
    <row r="381" spans="1:33" ht="20.100000000000001" customHeight="1">
      <c r="A381" s="217" t="str">
        <f>IF(D381&lt;&gt;"", ' 1A.Prop&amp;Residents'!$B$7, "")</f>
        <v/>
      </c>
      <c r="B381" s="217" t="str">
        <f t="shared" si="17"/>
        <v/>
      </c>
      <c r="C381" s="34">
        <v>367</v>
      </c>
      <c r="D381" s="153"/>
      <c r="E381" s="154"/>
      <c r="F381" s="1775"/>
      <c r="G381" s="155"/>
      <c r="H381" s="156"/>
      <c r="I381" s="154"/>
      <c r="J381" s="157"/>
      <c r="K381" s="156"/>
      <c r="L381" s="154"/>
      <c r="M381" s="609" t="str">
        <f>IF(L381="","",IF(E381="","",IF('1B.TransitionalProg'!$H$8&gt;0,"",VLOOKUP($E381,' 1A.Prop&amp;Residents'!$P$41:$R$47,2,FALSE))))</f>
        <v/>
      </c>
      <c r="N381" s="609" t="str">
        <f>IF(L381="","",IF(E381="","",IF('1B.TransitionalProg'!$H$8&gt;0,"",VLOOKUP($E381,' 1A.Prop&amp;Residents'!$P$41:$R$47,3,FALSE))))</f>
        <v/>
      </c>
      <c r="O381" s="610" t="str">
        <f>IF(L381="", "", IF(E381="", "", IF('1B.TransitionalProg'!$H$8&gt;0,"",IF(L381&lt;M381,"overHOUSED?",IF(L381&gt;N381, "OVERcrowded?","")))))</f>
        <v/>
      </c>
      <c r="P381" s="623"/>
      <c r="Q381" s="154"/>
      <c r="R381" s="154"/>
      <c r="S381" s="156"/>
      <c r="T381" s="156"/>
      <c r="U381" s="156"/>
      <c r="V381" s="156"/>
      <c r="W381" s="1580" t="str">
        <f t="shared" si="15"/>
        <v/>
      </c>
      <c r="X381" s="155"/>
      <c r="Y381" s="156"/>
      <c r="Z381" s="233" t="str">
        <f t="shared" si="16"/>
        <v/>
      </c>
      <c r="AA381" s="1447">
        <f>VLOOKUP($C381,'3B.Demographic'!$C$15:$N$414,6,FALSE)</f>
        <v>0</v>
      </c>
      <c r="AB381" s="1447">
        <f>VLOOKUP($C381,'3B.Demographic'!$C$15:$N$414,7,FALSE)</f>
        <v>0</v>
      </c>
      <c r="AC381" s="1447">
        <f>VLOOKUP($C381,'3B.Demographic'!$C$15:$N$414,8,FALSE)</f>
        <v>0</v>
      </c>
      <c r="AD381" s="1447">
        <f>VLOOKUP($C381,'3B.Demographic'!$C$15:$N$414,9,FALSE)</f>
        <v>0</v>
      </c>
      <c r="AE381" s="1447">
        <f>VLOOKUP($C381,'3B.Demographic'!$C$15:$N$414,10,FALSE)</f>
        <v>0</v>
      </c>
      <c r="AF381" s="1475">
        <f>VLOOKUP($C381,'3B.Demographic'!$C$15:$N$414,11,FALSE)</f>
        <v>0</v>
      </c>
      <c r="AG381" s="1229">
        <f>VLOOKUP($C381,'3B.Demographic'!$C$15:$N$414,12,FALSE)</f>
        <v>0</v>
      </c>
    </row>
    <row r="382" spans="1:33" ht="20.100000000000001" customHeight="1">
      <c r="A382" s="217" t="str">
        <f>IF(D382&lt;&gt;"", ' 1A.Prop&amp;Residents'!$B$7, "")</f>
        <v/>
      </c>
      <c r="B382" s="217" t="str">
        <f t="shared" si="17"/>
        <v/>
      </c>
      <c r="C382" s="34">
        <v>368</v>
      </c>
      <c r="D382" s="153"/>
      <c r="E382" s="154"/>
      <c r="F382" s="1775"/>
      <c r="G382" s="155"/>
      <c r="H382" s="156"/>
      <c r="I382" s="154"/>
      <c r="J382" s="157"/>
      <c r="K382" s="156"/>
      <c r="L382" s="154"/>
      <c r="M382" s="609" t="str">
        <f>IF(L382="","",IF(E382="","",IF('1B.TransitionalProg'!$H$8&gt;0,"",VLOOKUP($E382,' 1A.Prop&amp;Residents'!$P$41:$R$47,2,FALSE))))</f>
        <v/>
      </c>
      <c r="N382" s="609" t="str">
        <f>IF(L382="","",IF(E382="","",IF('1B.TransitionalProg'!$H$8&gt;0,"",VLOOKUP($E382,' 1A.Prop&amp;Residents'!$P$41:$R$47,3,FALSE))))</f>
        <v/>
      </c>
      <c r="O382" s="610" t="str">
        <f>IF(L382="", "", IF(E382="", "", IF('1B.TransitionalProg'!$H$8&gt;0,"",IF(L382&lt;M382,"overHOUSED?",IF(L382&gt;N382, "OVERcrowded?","")))))</f>
        <v/>
      </c>
      <c r="P382" s="623"/>
      <c r="Q382" s="154"/>
      <c r="R382" s="154"/>
      <c r="S382" s="156"/>
      <c r="T382" s="156"/>
      <c r="U382" s="156"/>
      <c r="V382" s="156"/>
      <c r="W382" s="1580" t="str">
        <f t="shared" si="15"/>
        <v/>
      </c>
      <c r="X382" s="155"/>
      <c r="Y382" s="156"/>
      <c r="Z382" s="233" t="str">
        <f t="shared" si="16"/>
        <v/>
      </c>
      <c r="AA382" s="1447">
        <f>VLOOKUP($C382,'3B.Demographic'!$C$15:$N$414,6,FALSE)</f>
        <v>0</v>
      </c>
      <c r="AB382" s="1447">
        <f>VLOOKUP($C382,'3B.Demographic'!$C$15:$N$414,7,FALSE)</f>
        <v>0</v>
      </c>
      <c r="AC382" s="1447">
        <f>VLOOKUP($C382,'3B.Demographic'!$C$15:$N$414,8,FALSE)</f>
        <v>0</v>
      </c>
      <c r="AD382" s="1447">
        <f>VLOOKUP($C382,'3B.Demographic'!$C$15:$N$414,9,FALSE)</f>
        <v>0</v>
      </c>
      <c r="AE382" s="1447">
        <f>VLOOKUP($C382,'3B.Demographic'!$C$15:$N$414,10,FALSE)</f>
        <v>0</v>
      </c>
      <c r="AF382" s="1475">
        <f>VLOOKUP($C382,'3B.Demographic'!$C$15:$N$414,11,FALSE)</f>
        <v>0</v>
      </c>
      <c r="AG382" s="1229">
        <f>VLOOKUP($C382,'3B.Demographic'!$C$15:$N$414,12,FALSE)</f>
        <v>0</v>
      </c>
    </row>
    <row r="383" spans="1:33" ht="20.100000000000001" customHeight="1">
      <c r="A383" s="217" t="str">
        <f>IF(D383&lt;&gt;"", ' 1A.Prop&amp;Residents'!$B$7, "")</f>
        <v/>
      </c>
      <c r="B383" s="217" t="str">
        <f t="shared" si="17"/>
        <v/>
      </c>
      <c r="C383" s="34">
        <v>369</v>
      </c>
      <c r="D383" s="153"/>
      <c r="E383" s="154"/>
      <c r="F383" s="1775"/>
      <c r="G383" s="155"/>
      <c r="H383" s="156"/>
      <c r="I383" s="154"/>
      <c r="J383" s="157"/>
      <c r="K383" s="156"/>
      <c r="L383" s="154"/>
      <c r="M383" s="609" t="str">
        <f>IF(L383="","",IF(E383="","",IF('1B.TransitionalProg'!$H$8&gt;0,"",VLOOKUP($E383,' 1A.Prop&amp;Residents'!$P$41:$R$47,2,FALSE))))</f>
        <v/>
      </c>
      <c r="N383" s="609" t="str">
        <f>IF(L383="","",IF(E383="","",IF('1B.TransitionalProg'!$H$8&gt;0,"",VLOOKUP($E383,' 1A.Prop&amp;Residents'!$P$41:$R$47,3,FALSE))))</f>
        <v/>
      </c>
      <c r="O383" s="610" t="str">
        <f>IF(L383="", "", IF(E383="", "", IF('1B.TransitionalProg'!$H$8&gt;0,"",IF(L383&lt;M383,"overHOUSED?",IF(L383&gt;N383, "OVERcrowded?","")))))</f>
        <v/>
      </c>
      <c r="P383" s="623"/>
      <c r="Q383" s="154"/>
      <c r="R383" s="154"/>
      <c r="S383" s="156"/>
      <c r="T383" s="156"/>
      <c r="U383" s="156"/>
      <c r="V383" s="156"/>
      <c r="W383" s="1580" t="str">
        <f t="shared" si="15"/>
        <v/>
      </c>
      <c r="X383" s="155"/>
      <c r="Y383" s="156"/>
      <c r="Z383" s="233" t="str">
        <f t="shared" si="16"/>
        <v/>
      </c>
      <c r="AA383" s="1447">
        <f>VLOOKUP($C383,'3B.Demographic'!$C$15:$N$414,6,FALSE)</f>
        <v>0</v>
      </c>
      <c r="AB383" s="1447">
        <f>VLOOKUP($C383,'3B.Demographic'!$C$15:$N$414,7,FALSE)</f>
        <v>0</v>
      </c>
      <c r="AC383" s="1447">
        <f>VLOOKUP($C383,'3B.Demographic'!$C$15:$N$414,8,FALSE)</f>
        <v>0</v>
      </c>
      <c r="AD383" s="1447">
        <f>VLOOKUP($C383,'3B.Demographic'!$C$15:$N$414,9,FALSE)</f>
        <v>0</v>
      </c>
      <c r="AE383" s="1447">
        <f>VLOOKUP($C383,'3B.Demographic'!$C$15:$N$414,10,FALSE)</f>
        <v>0</v>
      </c>
      <c r="AF383" s="1475">
        <f>VLOOKUP($C383,'3B.Demographic'!$C$15:$N$414,11,FALSE)</f>
        <v>0</v>
      </c>
      <c r="AG383" s="1229">
        <f>VLOOKUP($C383,'3B.Demographic'!$C$15:$N$414,12,FALSE)</f>
        <v>0</v>
      </c>
    </row>
    <row r="384" spans="1:33" ht="20.100000000000001" customHeight="1">
      <c r="A384" s="217" t="str">
        <f>IF(D384&lt;&gt;"", ' 1A.Prop&amp;Residents'!$B$7, "")</f>
        <v/>
      </c>
      <c r="B384" s="217" t="str">
        <f t="shared" si="17"/>
        <v/>
      </c>
      <c r="C384" s="34">
        <v>370</v>
      </c>
      <c r="D384" s="153"/>
      <c r="E384" s="154"/>
      <c r="F384" s="1775"/>
      <c r="G384" s="155"/>
      <c r="H384" s="156"/>
      <c r="I384" s="154"/>
      <c r="J384" s="157"/>
      <c r="K384" s="156"/>
      <c r="L384" s="154"/>
      <c r="M384" s="609" t="str">
        <f>IF(L384="","",IF(E384="","",IF('1B.TransitionalProg'!$H$8&gt;0,"",VLOOKUP($E384,' 1A.Prop&amp;Residents'!$P$41:$R$47,2,FALSE))))</f>
        <v/>
      </c>
      <c r="N384" s="609" t="str">
        <f>IF(L384="","",IF(E384="","",IF('1B.TransitionalProg'!$H$8&gt;0,"",VLOOKUP($E384,' 1A.Prop&amp;Residents'!$P$41:$R$47,3,FALSE))))</f>
        <v/>
      </c>
      <c r="O384" s="610" t="str">
        <f>IF(L384="", "", IF(E384="", "", IF('1B.TransitionalProg'!$H$8&gt;0,"",IF(L384&lt;M384,"overHOUSED?",IF(L384&gt;N384, "OVERcrowded?","")))))</f>
        <v/>
      </c>
      <c r="P384" s="623"/>
      <c r="Q384" s="154"/>
      <c r="R384" s="154"/>
      <c r="S384" s="156"/>
      <c r="T384" s="156"/>
      <c r="U384" s="156"/>
      <c r="V384" s="156"/>
      <c r="W384" s="1580" t="str">
        <f t="shared" si="15"/>
        <v/>
      </c>
      <c r="X384" s="155"/>
      <c r="Y384" s="156"/>
      <c r="Z384" s="233" t="str">
        <f t="shared" si="16"/>
        <v/>
      </c>
      <c r="AA384" s="1447">
        <f>VLOOKUP($C384,'3B.Demographic'!$C$15:$N$414,6,FALSE)</f>
        <v>0</v>
      </c>
      <c r="AB384" s="1447">
        <f>VLOOKUP($C384,'3B.Demographic'!$C$15:$N$414,7,FALSE)</f>
        <v>0</v>
      </c>
      <c r="AC384" s="1447">
        <f>VLOOKUP($C384,'3B.Demographic'!$C$15:$N$414,8,FALSE)</f>
        <v>0</v>
      </c>
      <c r="AD384" s="1447">
        <f>VLOOKUP($C384,'3B.Demographic'!$C$15:$N$414,9,FALSE)</f>
        <v>0</v>
      </c>
      <c r="AE384" s="1447">
        <f>VLOOKUP($C384,'3B.Demographic'!$C$15:$N$414,10,FALSE)</f>
        <v>0</v>
      </c>
      <c r="AF384" s="1475">
        <f>VLOOKUP($C384,'3B.Demographic'!$C$15:$N$414,11,FALSE)</f>
        <v>0</v>
      </c>
      <c r="AG384" s="1229">
        <f>VLOOKUP($C384,'3B.Demographic'!$C$15:$N$414,12,FALSE)</f>
        <v>0</v>
      </c>
    </row>
    <row r="385" spans="1:33" ht="20.100000000000001" customHeight="1">
      <c r="A385" s="217" t="str">
        <f>IF(D385&lt;&gt;"", ' 1A.Prop&amp;Residents'!$B$7, "")</f>
        <v/>
      </c>
      <c r="B385" s="217" t="str">
        <f t="shared" si="17"/>
        <v/>
      </c>
      <c r="C385" s="34">
        <v>371</v>
      </c>
      <c r="D385" s="153"/>
      <c r="E385" s="154"/>
      <c r="F385" s="1775"/>
      <c r="G385" s="155"/>
      <c r="H385" s="156"/>
      <c r="I385" s="154"/>
      <c r="J385" s="157"/>
      <c r="K385" s="156"/>
      <c r="L385" s="154"/>
      <c r="M385" s="609" t="str">
        <f>IF(L385="","",IF(E385="","",IF('1B.TransitionalProg'!$H$8&gt;0,"",VLOOKUP($E385,' 1A.Prop&amp;Residents'!$P$41:$R$47,2,FALSE))))</f>
        <v/>
      </c>
      <c r="N385" s="609" t="str">
        <f>IF(L385="","",IF(E385="","",IF('1B.TransitionalProg'!$H$8&gt;0,"",VLOOKUP($E385,' 1A.Prop&amp;Residents'!$P$41:$R$47,3,FALSE))))</f>
        <v/>
      </c>
      <c r="O385" s="610" t="str">
        <f>IF(L385="", "", IF(E385="", "", IF('1B.TransitionalProg'!$H$8&gt;0,"",IF(L385&lt;M385,"overHOUSED?",IF(L385&gt;N385, "OVERcrowded?","")))))</f>
        <v/>
      </c>
      <c r="P385" s="623"/>
      <c r="Q385" s="154"/>
      <c r="R385" s="154"/>
      <c r="S385" s="156"/>
      <c r="T385" s="156"/>
      <c r="U385" s="156"/>
      <c r="V385" s="156"/>
      <c r="W385" s="1580" t="str">
        <f t="shared" si="15"/>
        <v/>
      </c>
      <c r="X385" s="155"/>
      <c r="Y385" s="156"/>
      <c r="Z385" s="233" t="str">
        <f t="shared" si="16"/>
        <v/>
      </c>
      <c r="AA385" s="1447">
        <f>VLOOKUP($C385,'3B.Demographic'!$C$15:$N$414,6,FALSE)</f>
        <v>0</v>
      </c>
      <c r="AB385" s="1447">
        <f>VLOOKUP($C385,'3B.Demographic'!$C$15:$N$414,7,FALSE)</f>
        <v>0</v>
      </c>
      <c r="AC385" s="1447">
        <f>VLOOKUP($C385,'3B.Demographic'!$C$15:$N$414,8,FALSE)</f>
        <v>0</v>
      </c>
      <c r="AD385" s="1447">
        <f>VLOOKUP($C385,'3B.Demographic'!$C$15:$N$414,9,FALSE)</f>
        <v>0</v>
      </c>
      <c r="AE385" s="1447">
        <f>VLOOKUP($C385,'3B.Demographic'!$C$15:$N$414,10,FALSE)</f>
        <v>0</v>
      </c>
      <c r="AF385" s="1475">
        <f>VLOOKUP($C385,'3B.Demographic'!$C$15:$N$414,11,FALSE)</f>
        <v>0</v>
      </c>
      <c r="AG385" s="1229">
        <f>VLOOKUP($C385,'3B.Demographic'!$C$15:$N$414,12,FALSE)</f>
        <v>0</v>
      </c>
    </row>
    <row r="386" spans="1:33" ht="20.100000000000001" customHeight="1">
      <c r="A386" s="217" t="str">
        <f>IF(D386&lt;&gt;"", ' 1A.Prop&amp;Residents'!$B$7, "")</f>
        <v/>
      </c>
      <c r="B386" s="217" t="str">
        <f t="shared" si="17"/>
        <v/>
      </c>
      <c r="C386" s="34">
        <v>372</v>
      </c>
      <c r="D386" s="153"/>
      <c r="E386" s="154"/>
      <c r="F386" s="1775"/>
      <c r="G386" s="155"/>
      <c r="H386" s="156"/>
      <c r="I386" s="154"/>
      <c r="J386" s="157"/>
      <c r="K386" s="156"/>
      <c r="L386" s="154"/>
      <c r="M386" s="609" t="str">
        <f>IF(L386="","",IF(E386="","",IF('1B.TransitionalProg'!$H$8&gt;0,"",VLOOKUP($E386,' 1A.Prop&amp;Residents'!$P$41:$R$47,2,FALSE))))</f>
        <v/>
      </c>
      <c r="N386" s="609" t="str">
        <f>IF(L386="","",IF(E386="","",IF('1B.TransitionalProg'!$H$8&gt;0,"",VLOOKUP($E386,' 1A.Prop&amp;Residents'!$P$41:$R$47,3,FALSE))))</f>
        <v/>
      </c>
      <c r="O386" s="610" t="str">
        <f>IF(L386="", "", IF(E386="", "", IF('1B.TransitionalProg'!$H$8&gt;0,"",IF(L386&lt;M386,"overHOUSED?",IF(L386&gt;N386, "OVERcrowded?","")))))</f>
        <v/>
      </c>
      <c r="P386" s="623"/>
      <c r="Q386" s="154"/>
      <c r="R386" s="154"/>
      <c r="S386" s="156"/>
      <c r="T386" s="156"/>
      <c r="U386" s="156"/>
      <c r="V386" s="156"/>
      <c r="W386" s="1580" t="str">
        <f t="shared" si="15"/>
        <v/>
      </c>
      <c r="X386" s="155"/>
      <c r="Y386" s="156"/>
      <c r="Z386" s="233" t="str">
        <f t="shared" si="16"/>
        <v/>
      </c>
      <c r="AA386" s="1447">
        <f>VLOOKUP($C386,'3B.Demographic'!$C$15:$N$414,6,FALSE)</f>
        <v>0</v>
      </c>
      <c r="AB386" s="1447">
        <f>VLOOKUP($C386,'3B.Demographic'!$C$15:$N$414,7,FALSE)</f>
        <v>0</v>
      </c>
      <c r="AC386" s="1447">
        <f>VLOOKUP($C386,'3B.Demographic'!$C$15:$N$414,8,FALSE)</f>
        <v>0</v>
      </c>
      <c r="AD386" s="1447">
        <f>VLOOKUP($C386,'3B.Demographic'!$C$15:$N$414,9,FALSE)</f>
        <v>0</v>
      </c>
      <c r="AE386" s="1447">
        <f>VLOOKUP($C386,'3B.Demographic'!$C$15:$N$414,10,FALSE)</f>
        <v>0</v>
      </c>
      <c r="AF386" s="1475">
        <f>VLOOKUP($C386,'3B.Demographic'!$C$15:$N$414,11,FALSE)</f>
        <v>0</v>
      </c>
      <c r="AG386" s="1229">
        <f>VLOOKUP($C386,'3B.Demographic'!$C$15:$N$414,12,FALSE)</f>
        <v>0</v>
      </c>
    </row>
    <row r="387" spans="1:33" ht="20.100000000000001" customHeight="1">
      <c r="A387" s="217" t="str">
        <f>IF(D387&lt;&gt;"", ' 1A.Prop&amp;Residents'!$B$7, "")</f>
        <v/>
      </c>
      <c r="B387" s="217" t="str">
        <f t="shared" si="17"/>
        <v/>
      </c>
      <c r="C387" s="34">
        <v>373</v>
      </c>
      <c r="D387" s="153"/>
      <c r="E387" s="154"/>
      <c r="F387" s="1775"/>
      <c r="G387" s="155"/>
      <c r="H387" s="156"/>
      <c r="I387" s="154"/>
      <c r="J387" s="157"/>
      <c r="K387" s="156"/>
      <c r="L387" s="154"/>
      <c r="M387" s="609" t="str">
        <f>IF(L387="","",IF(E387="","",IF('1B.TransitionalProg'!$H$8&gt;0,"",VLOOKUP($E387,' 1A.Prop&amp;Residents'!$P$41:$R$47,2,FALSE))))</f>
        <v/>
      </c>
      <c r="N387" s="609" t="str">
        <f>IF(L387="","",IF(E387="","",IF('1B.TransitionalProg'!$H$8&gt;0,"",VLOOKUP($E387,' 1A.Prop&amp;Residents'!$P$41:$R$47,3,FALSE))))</f>
        <v/>
      </c>
      <c r="O387" s="610" t="str">
        <f>IF(L387="", "", IF(E387="", "", IF('1B.TransitionalProg'!$H$8&gt;0,"",IF(L387&lt;M387,"overHOUSED?",IF(L387&gt;N387, "OVERcrowded?","")))))</f>
        <v/>
      </c>
      <c r="P387" s="623"/>
      <c r="Q387" s="154"/>
      <c r="R387" s="154"/>
      <c r="S387" s="156"/>
      <c r="T387" s="156"/>
      <c r="U387" s="156"/>
      <c r="V387" s="156"/>
      <c r="W387" s="1580" t="str">
        <f t="shared" si="15"/>
        <v/>
      </c>
      <c r="X387" s="155"/>
      <c r="Y387" s="156"/>
      <c r="Z387" s="233" t="str">
        <f t="shared" si="16"/>
        <v/>
      </c>
      <c r="AA387" s="1447">
        <f>VLOOKUP($C387,'3B.Demographic'!$C$15:$N$414,6,FALSE)</f>
        <v>0</v>
      </c>
      <c r="AB387" s="1447">
        <f>VLOOKUP($C387,'3B.Demographic'!$C$15:$N$414,7,FALSE)</f>
        <v>0</v>
      </c>
      <c r="AC387" s="1447">
        <f>VLOOKUP($C387,'3B.Demographic'!$C$15:$N$414,8,FALSE)</f>
        <v>0</v>
      </c>
      <c r="AD387" s="1447">
        <f>VLOOKUP($C387,'3B.Demographic'!$C$15:$N$414,9,FALSE)</f>
        <v>0</v>
      </c>
      <c r="AE387" s="1447">
        <f>VLOOKUP($C387,'3B.Demographic'!$C$15:$N$414,10,FALSE)</f>
        <v>0</v>
      </c>
      <c r="AF387" s="1475">
        <f>VLOOKUP($C387,'3B.Demographic'!$C$15:$N$414,11,FALSE)</f>
        <v>0</v>
      </c>
      <c r="AG387" s="1229">
        <f>VLOOKUP($C387,'3B.Demographic'!$C$15:$N$414,12,FALSE)</f>
        <v>0</v>
      </c>
    </row>
    <row r="388" spans="1:33" ht="20.100000000000001" customHeight="1">
      <c r="A388" s="217" t="str">
        <f>IF(D388&lt;&gt;"", ' 1A.Prop&amp;Residents'!$B$7, "")</f>
        <v/>
      </c>
      <c r="B388" s="217" t="str">
        <f t="shared" si="17"/>
        <v/>
      </c>
      <c r="C388" s="34">
        <v>374</v>
      </c>
      <c r="D388" s="153"/>
      <c r="E388" s="154"/>
      <c r="F388" s="1775"/>
      <c r="G388" s="155"/>
      <c r="H388" s="156"/>
      <c r="I388" s="154"/>
      <c r="J388" s="157"/>
      <c r="K388" s="156"/>
      <c r="L388" s="154"/>
      <c r="M388" s="609" t="str">
        <f>IF(L388="","",IF(E388="","",IF('1B.TransitionalProg'!$H$8&gt;0,"",VLOOKUP($E388,' 1A.Prop&amp;Residents'!$P$41:$R$47,2,FALSE))))</f>
        <v/>
      </c>
      <c r="N388" s="609" t="str">
        <f>IF(L388="","",IF(E388="","",IF('1B.TransitionalProg'!$H$8&gt;0,"",VLOOKUP($E388,' 1A.Prop&amp;Residents'!$P$41:$R$47,3,FALSE))))</f>
        <v/>
      </c>
      <c r="O388" s="610" t="str">
        <f>IF(L388="", "", IF(E388="", "", IF('1B.TransitionalProg'!$H$8&gt;0,"",IF(L388&lt;M388,"overHOUSED?",IF(L388&gt;N388, "OVERcrowded?","")))))</f>
        <v/>
      </c>
      <c r="P388" s="623"/>
      <c r="Q388" s="154"/>
      <c r="R388" s="154"/>
      <c r="S388" s="156"/>
      <c r="T388" s="156"/>
      <c r="U388" s="156"/>
      <c r="V388" s="156"/>
      <c r="W388" s="1580" t="str">
        <f t="shared" si="15"/>
        <v/>
      </c>
      <c r="X388" s="155"/>
      <c r="Y388" s="156"/>
      <c r="Z388" s="233" t="str">
        <f t="shared" si="16"/>
        <v/>
      </c>
      <c r="AA388" s="1447">
        <f>VLOOKUP($C388,'3B.Demographic'!$C$15:$N$414,6,FALSE)</f>
        <v>0</v>
      </c>
      <c r="AB388" s="1447">
        <f>VLOOKUP($C388,'3B.Demographic'!$C$15:$N$414,7,FALSE)</f>
        <v>0</v>
      </c>
      <c r="AC388" s="1447">
        <f>VLOOKUP($C388,'3B.Demographic'!$C$15:$N$414,8,FALSE)</f>
        <v>0</v>
      </c>
      <c r="AD388" s="1447">
        <f>VLOOKUP($C388,'3B.Demographic'!$C$15:$N$414,9,FALSE)</f>
        <v>0</v>
      </c>
      <c r="AE388" s="1447">
        <f>VLOOKUP($C388,'3B.Demographic'!$C$15:$N$414,10,FALSE)</f>
        <v>0</v>
      </c>
      <c r="AF388" s="1475">
        <f>VLOOKUP($C388,'3B.Demographic'!$C$15:$N$414,11,FALSE)</f>
        <v>0</v>
      </c>
      <c r="AG388" s="1229">
        <f>VLOOKUP($C388,'3B.Demographic'!$C$15:$N$414,12,FALSE)</f>
        <v>0</v>
      </c>
    </row>
    <row r="389" spans="1:33" ht="20.100000000000001" customHeight="1">
      <c r="A389" s="217" t="str">
        <f>IF(D389&lt;&gt;"", ' 1A.Prop&amp;Residents'!$B$7, "")</f>
        <v/>
      </c>
      <c r="B389" s="217" t="str">
        <f t="shared" si="17"/>
        <v/>
      </c>
      <c r="C389" s="34">
        <v>375</v>
      </c>
      <c r="D389" s="153"/>
      <c r="E389" s="154"/>
      <c r="F389" s="1775"/>
      <c r="G389" s="155"/>
      <c r="H389" s="156"/>
      <c r="I389" s="154"/>
      <c r="J389" s="157"/>
      <c r="K389" s="156"/>
      <c r="L389" s="154"/>
      <c r="M389" s="609" t="str">
        <f>IF(L389="","",IF(E389="","",IF('1B.TransitionalProg'!$H$8&gt;0,"",VLOOKUP($E389,' 1A.Prop&amp;Residents'!$P$41:$R$47,2,FALSE))))</f>
        <v/>
      </c>
      <c r="N389" s="609" t="str">
        <f>IF(L389="","",IF(E389="","",IF('1B.TransitionalProg'!$H$8&gt;0,"",VLOOKUP($E389,' 1A.Prop&amp;Residents'!$P$41:$R$47,3,FALSE))))</f>
        <v/>
      </c>
      <c r="O389" s="610" t="str">
        <f>IF(L389="", "", IF(E389="", "", IF('1B.TransitionalProg'!$H$8&gt;0,"",IF(L389&lt;M389,"overHOUSED?",IF(L389&gt;N389, "OVERcrowded?","")))))</f>
        <v/>
      </c>
      <c r="P389" s="623"/>
      <c r="Q389" s="154"/>
      <c r="R389" s="154"/>
      <c r="S389" s="156"/>
      <c r="T389" s="156"/>
      <c r="U389" s="156"/>
      <c r="V389" s="156"/>
      <c r="W389" s="1580" t="str">
        <f t="shared" si="15"/>
        <v/>
      </c>
      <c r="X389" s="155"/>
      <c r="Y389" s="156"/>
      <c r="Z389" s="233" t="str">
        <f t="shared" si="16"/>
        <v/>
      </c>
      <c r="AA389" s="1447">
        <f>VLOOKUP($C389,'3B.Demographic'!$C$15:$N$414,6,FALSE)</f>
        <v>0</v>
      </c>
      <c r="AB389" s="1447">
        <f>VLOOKUP($C389,'3B.Demographic'!$C$15:$N$414,7,FALSE)</f>
        <v>0</v>
      </c>
      <c r="AC389" s="1447">
        <f>VLOOKUP($C389,'3B.Demographic'!$C$15:$N$414,8,FALSE)</f>
        <v>0</v>
      </c>
      <c r="AD389" s="1447">
        <f>VLOOKUP($C389,'3B.Demographic'!$C$15:$N$414,9,FALSE)</f>
        <v>0</v>
      </c>
      <c r="AE389" s="1447">
        <f>VLOOKUP($C389,'3B.Demographic'!$C$15:$N$414,10,FALSE)</f>
        <v>0</v>
      </c>
      <c r="AF389" s="1475">
        <f>VLOOKUP($C389,'3B.Demographic'!$C$15:$N$414,11,FALSE)</f>
        <v>0</v>
      </c>
      <c r="AG389" s="1229">
        <f>VLOOKUP($C389,'3B.Demographic'!$C$15:$N$414,12,FALSE)</f>
        <v>0</v>
      </c>
    </row>
    <row r="390" spans="1:33" ht="20.100000000000001" customHeight="1">
      <c r="A390" s="217" t="str">
        <f>IF(D390&lt;&gt;"", ' 1A.Prop&amp;Residents'!$B$7, "")</f>
        <v/>
      </c>
      <c r="B390" s="217" t="str">
        <f t="shared" si="17"/>
        <v/>
      </c>
      <c r="C390" s="34">
        <v>376</v>
      </c>
      <c r="D390" s="153"/>
      <c r="E390" s="154"/>
      <c r="F390" s="1775"/>
      <c r="G390" s="155"/>
      <c r="H390" s="156"/>
      <c r="I390" s="154"/>
      <c r="J390" s="157"/>
      <c r="K390" s="156"/>
      <c r="L390" s="154"/>
      <c r="M390" s="609" t="str">
        <f>IF(L390="","",IF(E390="","",IF('1B.TransitionalProg'!$H$8&gt;0,"",VLOOKUP($E390,' 1A.Prop&amp;Residents'!$P$41:$R$47,2,FALSE))))</f>
        <v/>
      </c>
      <c r="N390" s="609" t="str">
        <f>IF(L390="","",IF(E390="","",IF('1B.TransitionalProg'!$H$8&gt;0,"",VLOOKUP($E390,' 1A.Prop&amp;Residents'!$P$41:$R$47,3,FALSE))))</f>
        <v/>
      </c>
      <c r="O390" s="610" t="str">
        <f>IF(L390="", "", IF(E390="", "", IF('1B.TransitionalProg'!$H$8&gt;0,"",IF(L390&lt;M390,"overHOUSED?",IF(L390&gt;N390, "OVERcrowded?","")))))</f>
        <v/>
      </c>
      <c r="P390" s="623"/>
      <c r="Q390" s="154"/>
      <c r="R390" s="154"/>
      <c r="S390" s="156"/>
      <c r="T390" s="156"/>
      <c r="U390" s="156"/>
      <c r="V390" s="156"/>
      <c r="W390" s="1580" t="str">
        <f t="shared" si="15"/>
        <v/>
      </c>
      <c r="X390" s="155"/>
      <c r="Y390" s="156"/>
      <c r="Z390" s="233" t="str">
        <f t="shared" si="16"/>
        <v/>
      </c>
      <c r="AA390" s="1447">
        <f>VLOOKUP($C390,'3B.Demographic'!$C$15:$N$414,6,FALSE)</f>
        <v>0</v>
      </c>
      <c r="AB390" s="1447">
        <f>VLOOKUP($C390,'3B.Demographic'!$C$15:$N$414,7,FALSE)</f>
        <v>0</v>
      </c>
      <c r="AC390" s="1447">
        <f>VLOOKUP($C390,'3B.Demographic'!$C$15:$N$414,8,FALSE)</f>
        <v>0</v>
      </c>
      <c r="AD390" s="1447">
        <f>VLOOKUP($C390,'3B.Demographic'!$C$15:$N$414,9,FALSE)</f>
        <v>0</v>
      </c>
      <c r="AE390" s="1447">
        <f>VLOOKUP($C390,'3B.Demographic'!$C$15:$N$414,10,FALSE)</f>
        <v>0</v>
      </c>
      <c r="AF390" s="1475">
        <f>VLOOKUP($C390,'3B.Demographic'!$C$15:$N$414,11,FALSE)</f>
        <v>0</v>
      </c>
      <c r="AG390" s="1229">
        <f>VLOOKUP($C390,'3B.Demographic'!$C$15:$N$414,12,FALSE)</f>
        <v>0</v>
      </c>
    </row>
    <row r="391" spans="1:33" ht="20.100000000000001" customHeight="1">
      <c r="A391" s="217" t="str">
        <f>IF(D391&lt;&gt;"", ' 1A.Prop&amp;Residents'!$B$7, "")</f>
        <v/>
      </c>
      <c r="B391" s="217" t="str">
        <f t="shared" si="17"/>
        <v/>
      </c>
      <c r="C391" s="34">
        <v>377</v>
      </c>
      <c r="D391" s="153"/>
      <c r="E391" s="154"/>
      <c r="F391" s="1775"/>
      <c r="G391" s="155"/>
      <c r="H391" s="156"/>
      <c r="I391" s="154"/>
      <c r="J391" s="157"/>
      <c r="K391" s="156"/>
      <c r="L391" s="154"/>
      <c r="M391" s="609" t="str">
        <f>IF(L391="","",IF(E391="","",IF('1B.TransitionalProg'!$H$8&gt;0,"",VLOOKUP($E391,' 1A.Prop&amp;Residents'!$P$41:$R$47,2,FALSE))))</f>
        <v/>
      </c>
      <c r="N391" s="609" t="str">
        <f>IF(L391="","",IF(E391="","",IF('1B.TransitionalProg'!$H$8&gt;0,"",VLOOKUP($E391,' 1A.Prop&amp;Residents'!$P$41:$R$47,3,FALSE))))</f>
        <v/>
      </c>
      <c r="O391" s="610" t="str">
        <f>IF(L391="", "", IF(E391="", "", IF('1B.TransitionalProg'!$H$8&gt;0,"",IF(L391&lt;M391,"overHOUSED?",IF(L391&gt;N391, "OVERcrowded?","")))))</f>
        <v/>
      </c>
      <c r="P391" s="623"/>
      <c r="Q391" s="154"/>
      <c r="R391" s="154"/>
      <c r="S391" s="156"/>
      <c r="T391" s="156"/>
      <c r="U391" s="156"/>
      <c r="V391" s="156"/>
      <c r="W391" s="1580" t="str">
        <f t="shared" si="15"/>
        <v/>
      </c>
      <c r="X391" s="155"/>
      <c r="Y391" s="156"/>
      <c r="Z391" s="233" t="str">
        <f t="shared" si="16"/>
        <v/>
      </c>
      <c r="AA391" s="1447">
        <f>VLOOKUP($C391,'3B.Demographic'!$C$15:$N$414,6,FALSE)</f>
        <v>0</v>
      </c>
      <c r="AB391" s="1447">
        <f>VLOOKUP($C391,'3B.Demographic'!$C$15:$N$414,7,FALSE)</f>
        <v>0</v>
      </c>
      <c r="AC391" s="1447">
        <f>VLOOKUP($C391,'3B.Demographic'!$C$15:$N$414,8,FALSE)</f>
        <v>0</v>
      </c>
      <c r="AD391" s="1447">
        <f>VLOOKUP($C391,'3B.Demographic'!$C$15:$N$414,9,FALSE)</f>
        <v>0</v>
      </c>
      <c r="AE391" s="1447">
        <f>VLOOKUP($C391,'3B.Demographic'!$C$15:$N$414,10,FALSE)</f>
        <v>0</v>
      </c>
      <c r="AF391" s="1475">
        <f>VLOOKUP($C391,'3B.Demographic'!$C$15:$N$414,11,FALSE)</f>
        <v>0</v>
      </c>
      <c r="AG391" s="1229">
        <f>VLOOKUP($C391,'3B.Demographic'!$C$15:$N$414,12,FALSE)</f>
        <v>0</v>
      </c>
    </row>
    <row r="392" spans="1:33" ht="20.100000000000001" customHeight="1">
      <c r="A392" s="217" t="str">
        <f>IF(D392&lt;&gt;"", ' 1A.Prop&amp;Residents'!$B$7, "")</f>
        <v/>
      </c>
      <c r="B392" s="217" t="str">
        <f t="shared" si="17"/>
        <v/>
      </c>
      <c r="C392" s="34">
        <v>378</v>
      </c>
      <c r="D392" s="153"/>
      <c r="E392" s="154"/>
      <c r="F392" s="1775"/>
      <c r="G392" s="155"/>
      <c r="H392" s="156"/>
      <c r="I392" s="154"/>
      <c r="J392" s="157"/>
      <c r="K392" s="156"/>
      <c r="L392" s="154"/>
      <c r="M392" s="609" t="str">
        <f>IF(L392="","",IF(E392="","",IF('1B.TransitionalProg'!$H$8&gt;0,"",VLOOKUP($E392,' 1A.Prop&amp;Residents'!$P$41:$R$47,2,FALSE))))</f>
        <v/>
      </c>
      <c r="N392" s="609" t="str">
        <f>IF(L392="","",IF(E392="","",IF('1B.TransitionalProg'!$H$8&gt;0,"",VLOOKUP($E392,' 1A.Prop&amp;Residents'!$P$41:$R$47,3,FALSE))))</f>
        <v/>
      </c>
      <c r="O392" s="610" t="str">
        <f>IF(L392="", "", IF(E392="", "", IF('1B.TransitionalProg'!$H$8&gt;0,"",IF(L392&lt;M392,"overHOUSED?",IF(L392&gt;N392, "OVERcrowded?","")))))</f>
        <v/>
      </c>
      <c r="P392" s="623"/>
      <c r="Q392" s="154"/>
      <c r="R392" s="154"/>
      <c r="S392" s="156"/>
      <c r="T392" s="156"/>
      <c r="U392" s="156"/>
      <c r="V392" s="156"/>
      <c r="W392" s="1580" t="str">
        <f t="shared" si="15"/>
        <v/>
      </c>
      <c r="X392" s="155"/>
      <c r="Y392" s="156"/>
      <c r="Z392" s="233" t="str">
        <f t="shared" si="16"/>
        <v/>
      </c>
      <c r="AA392" s="1447">
        <f>VLOOKUP($C392,'3B.Demographic'!$C$15:$N$414,6,FALSE)</f>
        <v>0</v>
      </c>
      <c r="AB392" s="1447">
        <f>VLOOKUP($C392,'3B.Demographic'!$C$15:$N$414,7,FALSE)</f>
        <v>0</v>
      </c>
      <c r="AC392" s="1447">
        <f>VLOOKUP($C392,'3B.Demographic'!$C$15:$N$414,8,FALSE)</f>
        <v>0</v>
      </c>
      <c r="AD392" s="1447">
        <f>VLOOKUP($C392,'3B.Demographic'!$C$15:$N$414,9,FALSE)</f>
        <v>0</v>
      </c>
      <c r="AE392" s="1447">
        <f>VLOOKUP($C392,'3B.Demographic'!$C$15:$N$414,10,FALSE)</f>
        <v>0</v>
      </c>
      <c r="AF392" s="1475">
        <f>VLOOKUP($C392,'3B.Demographic'!$C$15:$N$414,11,FALSE)</f>
        <v>0</v>
      </c>
      <c r="AG392" s="1229">
        <f>VLOOKUP($C392,'3B.Demographic'!$C$15:$N$414,12,FALSE)</f>
        <v>0</v>
      </c>
    </row>
    <row r="393" spans="1:33" ht="20.100000000000001" customHeight="1">
      <c r="A393" s="217" t="str">
        <f>IF(D393&lt;&gt;"", ' 1A.Prop&amp;Residents'!$B$7, "")</f>
        <v/>
      </c>
      <c r="B393" s="217" t="str">
        <f t="shared" si="17"/>
        <v/>
      </c>
      <c r="C393" s="34">
        <v>379</v>
      </c>
      <c r="D393" s="153"/>
      <c r="E393" s="154"/>
      <c r="F393" s="1775"/>
      <c r="G393" s="155"/>
      <c r="H393" s="156"/>
      <c r="I393" s="154"/>
      <c r="J393" s="157"/>
      <c r="K393" s="156"/>
      <c r="L393" s="154"/>
      <c r="M393" s="609" t="str">
        <f>IF(L393="","",IF(E393="","",IF('1B.TransitionalProg'!$H$8&gt;0,"",VLOOKUP($E393,' 1A.Prop&amp;Residents'!$P$41:$R$47,2,FALSE))))</f>
        <v/>
      </c>
      <c r="N393" s="609" t="str">
        <f>IF(L393="","",IF(E393="","",IF('1B.TransitionalProg'!$H$8&gt;0,"",VLOOKUP($E393,' 1A.Prop&amp;Residents'!$P$41:$R$47,3,FALSE))))</f>
        <v/>
      </c>
      <c r="O393" s="610" t="str">
        <f>IF(L393="", "", IF(E393="", "", IF('1B.TransitionalProg'!$H$8&gt;0,"",IF(L393&lt;M393,"overHOUSED?",IF(L393&gt;N393, "OVERcrowded?","")))))</f>
        <v/>
      </c>
      <c r="P393" s="623"/>
      <c r="Q393" s="154"/>
      <c r="R393" s="154"/>
      <c r="S393" s="156"/>
      <c r="T393" s="156"/>
      <c r="U393" s="156"/>
      <c r="V393" s="156"/>
      <c r="W393" s="1580" t="str">
        <f t="shared" si="15"/>
        <v/>
      </c>
      <c r="X393" s="155"/>
      <c r="Y393" s="156"/>
      <c r="Z393" s="233" t="str">
        <f t="shared" si="16"/>
        <v/>
      </c>
      <c r="AA393" s="1447">
        <f>VLOOKUP($C393,'3B.Demographic'!$C$15:$N$414,6,FALSE)</f>
        <v>0</v>
      </c>
      <c r="AB393" s="1447">
        <f>VLOOKUP($C393,'3B.Demographic'!$C$15:$N$414,7,FALSE)</f>
        <v>0</v>
      </c>
      <c r="AC393" s="1447">
        <f>VLOOKUP($C393,'3B.Demographic'!$C$15:$N$414,8,FALSE)</f>
        <v>0</v>
      </c>
      <c r="AD393" s="1447">
        <f>VLOOKUP($C393,'3B.Demographic'!$C$15:$N$414,9,FALSE)</f>
        <v>0</v>
      </c>
      <c r="AE393" s="1447">
        <f>VLOOKUP($C393,'3B.Demographic'!$C$15:$N$414,10,FALSE)</f>
        <v>0</v>
      </c>
      <c r="AF393" s="1475">
        <f>VLOOKUP($C393,'3B.Demographic'!$C$15:$N$414,11,FALSE)</f>
        <v>0</v>
      </c>
      <c r="AG393" s="1229">
        <f>VLOOKUP($C393,'3B.Demographic'!$C$15:$N$414,12,FALSE)</f>
        <v>0</v>
      </c>
    </row>
    <row r="394" spans="1:33" ht="20.100000000000001" customHeight="1">
      <c r="A394" s="217" t="str">
        <f>IF(D394&lt;&gt;"", ' 1A.Prop&amp;Residents'!$B$7, "")</f>
        <v/>
      </c>
      <c r="B394" s="217" t="str">
        <f t="shared" si="17"/>
        <v/>
      </c>
      <c r="C394" s="34">
        <v>380</v>
      </c>
      <c r="D394" s="153"/>
      <c r="E394" s="154"/>
      <c r="F394" s="1775"/>
      <c r="G394" s="155"/>
      <c r="H394" s="156"/>
      <c r="I394" s="154"/>
      <c r="J394" s="157"/>
      <c r="K394" s="156"/>
      <c r="L394" s="154"/>
      <c r="M394" s="609" t="str">
        <f>IF(L394="","",IF(E394="","",IF('1B.TransitionalProg'!$H$8&gt;0,"",VLOOKUP($E394,' 1A.Prop&amp;Residents'!$P$41:$R$47,2,FALSE))))</f>
        <v/>
      </c>
      <c r="N394" s="609" t="str">
        <f>IF(L394="","",IF(E394="","",IF('1B.TransitionalProg'!$H$8&gt;0,"",VLOOKUP($E394,' 1A.Prop&amp;Residents'!$P$41:$R$47,3,FALSE))))</f>
        <v/>
      </c>
      <c r="O394" s="610" t="str">
        <f>IF(L394="", "", IF(E394="", "", IF('1B.TransitionalProg'!$H$8&gt;0,"",IF(L394&lt;M394,"overHOUSED?",IF(L394&gt;N394, "OVERcrowded?","")))))</f>
        <v/>
      </c>
      <c r="P394" s="623"/>
      <c r="Q394" s="154"/>
      <c r="R394" s="154"/>
      <c r="S394" s="156"/>
      <c r="T394" s="156"/>
      <c r="U394" s="156"/>
      <c r="V394" s="156"/>
      <c r="W394" s="1580" t="str">
        <f t="shared" si="15"/>
        <v/>
      </c>
      <c r="X394" s="155"/>
      <c r="Y394" s="156"/>
      <c r="Z394" s="233" t="str">
        <f t="shared" si="16"/>
        <v/>
      </c>
      <c r="AA394" s="1447">
        <f>VLOOKUP($C394,'3B.Demographic'!$C$15:$N$414,6,FALSE)</f>
        <v>0</v>
      </c>
      <c r="AB394" s="1447">
        <f>VLOOKUP($C394,'3B.Demographic'!$C$15:$N$414,7,FALSE)</f>
        <v>0</v>
      </c>
      <c r="AC394" s="1447">
        <f>VLOOKUP($C394,'3B.Demographic'!$C$15:$N$414,8,FALSE)</f>
        <v>0</v>
      </c>
      <c r="AD394" s="1447">
        <f>VLOOKUP($C394,'3B.Demographic'!$C$15:$N$414,9,FALSE)</f>
        <v>0</v>
      </c>
      <c r="AE394" s="1447">
        <f>VLOOKUP($C394,'3B.Demographic'!$C$15:$N$414,10,FALSE)</f>
        <v>0</v>
      </c>
      <c r="AF394" s="1475">
        <f>VLOOKUP($C394,'3B.Demographic'!$C$15:$N$414,11,FALSE)</f>
        <v>0</v>
      </c>
      <c r="AG394" s="1229">
        <f>VLOOKUP($C394,'3B.Demographic'!$C$15:$N$414,12,FALSE)</f>
        <v>0</v>
      </c>
    </row>
    <row r="395" spans="1:33" ht="20.100000000000001" customHeight="1">
      <c r="A395" s="217" t="str">
        <f>IF(D395&lt;&gt;"", ' 1A.Prop&amp;Residents'!$B$7, "")</f>
        <v/>
      </c>
      <c r="B395" s="217" t="str">
        <f t="shared" si="17"/>
        <v/>
      </c>
      <c r="C395" s="34">
        <v>381</v>
      </c>
      <c r="D395" s="153"/>
      <c r="E395" s="154"/>
      <c r="F395" s="1775"/>
      <c r="G395" s="155"/>
      <c r="H395" s="156"/>
      <c r="I395" s="154"/>
      <c r="J395" s="157"/>
      <c r="K395" s="156"/>
      <c r="L395" s="154"/>
      <c r="M395" s="609" t="str">
        <f>IF(L395="","",IF(E395="","",IF('1B.TransitionalProg'!$H$8&gt;0,"",VLOOKUP($E395,' 1A.Prop&amp;Residents'!$P$41:$R$47,2,FALSE))))</f>
        <v/>
      </c>
      <c r="N395" s="609" t="str">
        <f>IF(L395="","",IF(E395="","",IF('1B.TransitionalProg'!$H$8&gt;0,"",VLOOKUP($E395,' 1A.Prop&amp;Residents'!$P$41:$R$47,3,FALSE))))</f>
        <v/>
      </c>
      <c r="O395" s="610" t="str">
        <f>IF(L395="", "", IF(E395="", "", IF('1B.TransitionalProg'!$H$8&gt;0,"",IF(L395&lt;M395,"overHOUSED?",IF(L395&gt;N395, "OVERcrowded?","")))))</f>
        <v/>
      </c>
      <c r="P395" s="623"/>
      <c r="Q395" s="154"/>
      <c r="R395" s="154"/>
      <c r="S395" s="156"/>
      <c r="T395" s="156"/>
      <c r="U395" s="156"/>
      <c r="V395" s="156"/>
      <c r="W395" s="1580" t="str">
        <f t="shared" si="15"/>
        <v/>
      </c>
      <c r="X395" s="155"/>
      <c r="Y395" s="156"/>
      <c r="Z395" s="233" t="str">
        <f t="shared" si="16"/>
        <v/>
      </c>
      <c r="AA395" s="1447">
        <f>VLOOKUP($C395,'3B.Demographic'!$C$15:$N$414,6,FALSE)</f>
        <v>0</v>
      </c>
      <c r="AB395" s="1447">
        <f>VLOOKUP($C395,'3B.Demographic'!$C$15:$N$414,7,FALSE)</f>
        <v>0</v>
      </c>
      <c r="AC395" s="1447">
        <f>VLOOKUP($C395,'3B.Demographic'!$C$15:$N$414,8,FALSE)</f>
        <v>0</v>
      </c>
      <c r="AD395" s="1447">
        <f>VLOOKUP($C395,'3B.Demographic'!$C$15:$N$414,9,FALSE)</f>
        <v>0</v>
      </c>
      <c r="AE395" s="1447">
        <f>VLOOKUP($C395,'3B.Demographic'!$C$15:$N$414,10,FALSE)</f>
        <v>0</v>
      </c>
      <c r="AF395" s="1475">
        <f>VLOOKUP($C395,'3B.Demographic'!$C$15:$N$414,11,FALSE)</f>
        <v>0</v>
      </c>
      <c r="AG395" s="1229">
        <f>VLOOKUP($C395,'3B.Demographic'!$C$15:$N$414,12,FALSE)</f>
        <v>0</v>
      </c>
    </row>
    <row r="396" spans="1:33" ht="20.100000000000001" customHeight="1">
      <c r="A396" s="217" t="str">
        <f>IF(D396&lt;&gt;"", ' 1A.Prop&amp;Residents'!$B$7, "")</f>
        <v/>
      </c>
      <c r="B396" s="217" t="str">
        <f t="shared" si="17"/>
        <v/>
      </c>
      <c r="C396" s="34">
        <v>382</v>
      </c>
      <c r="D396" s="153"/>
      <c r="E396" s="154"/>
      <c r="F396" s="1775"/>
      <c r="G396" s="155"/>
      <c r="H396" s="156"/>
      <c r="I396" s="154"/>
      <c r="J396" s="157"/>
      <c r="K396" s="156"/>
      <c r="L396" s="154"/>
      <c r="M396" s="609" t="str">
        <f>IF(L396="","",IF(E396="","",IF('1B.TransitionalProg'!$H$8&gt;0,"",VLOOKUP($E396,' 1A.Prop&amp;Residents'!$P$41:$R$47,2,FALSE))))</f>
        <v/>
      </c>
      <c r="N396" s="609" t="str">
        <f>IF(L396="","",IF(E396="","",IF('1B.TransitionalProg'!$H$8&gt;0,"",VLOOKUP($E396,' 1A.Prop&amp;Residents'!$P$41:$R$47,3,FALSE))))</f>
        <v/>
      </c>
      <c r="O396" s="610" t="str">
        <f>IF(L396="", "", IF(E396="", "", IF('1B.TransitionalProg'!$H$8&gt;0,"",IF(L396&lt;M396,"overHOUSED?",IF(L396&gt;N396, "OVERcrowded?","")))))</f>
        <v/>
      </c>
      <c r="P396" s="623"/>
      <c r="Q396" s="154"/>
      <c r="R396" s="154"/>
      <c r="S396" s="156"/>
      <c r="T396" s="156"/>
      <c r="U396" s="156"/>
      <c r="V396" s="156"/>
      <c r="W396" s="1580" t="str">
        <f t="shared" si="15"/>
        <v/>
      </c>
      <c r="X396" s="155"/>
      <c r="Y396" s="156"/>
      <c r="Z396" s="233" t="str">
        <f t="shared" si="16"/>
        <v/>
      </c>
      <c r="AA396" s="1447">
        <f>VLOOKUP($C396,'3B.Demographic'!$C$15:$N$414,6,FALSE)</f>
        <v>0</v>
      </c>
      <c r="AB396" s="1447">
        <f>VLOOKUP($C396,'3B.Demographic'!$C$15:$N$414,7,FALSE)</f>
        <v>0</v>
      </c>
      <c r="AC396" s="1447">
        <f>VLOOKUP($C396,'3B.Demographic'!$C$15:$N$414,8,FALSE)</f>
        <v>0</v>
      </c>
      <c r="AD396" s="1447">
        <f>VLOOKUP($C396,'3B.Demographic'!$C$15:$N$414,9,FALSE)</f>
        <v>0</v>
      </c>
      <c r="AE396" s="1447">
        <f>VLOOKUP($C396,'3B.Demographic'!$C$15:$N$414,10,FALSE)</f>
        <v>0</v>
      </c>
      <c r="AF396" s="1475">
        <f>VLOOKUP($C396,'3B.Demographic'!$C$15:$N$414,11,FALSE)</f>
        <v>0</v>
      </c>
      <c r="AG396" s="1229">
        <f>VLOOKUP($C396,'3B.Demographic'!$C$15:$N$414,12,FALSE)</f>
        <v>0</v>
      </c>
    </row>
    <row r="397" spans="1:33" ht="20.100000000000001" customHeight="1">
      <c r="A397" s="217" t="str">
        <f>IF(D397&lt;&gt;"", ' 1A.Prop&amp;Residents'!$B$7, "")</f>
        <v/>
      </c>
      <c r="B397" s="217" t="str">
        <f t="shared" si="17"/>
        <v/>
      </c>
      <c r="C397" s="34">
        <v>383</v>
      </c>
      <c r="D397" s="153"/>
      <c r="E397" s="154"/>
      <c r="F397" s="1775"/>
      <c r="G397" s="155"/>
      <c r="H397" s="156"/>
      <c r="I397" s="154"/>
      <c r="J397" s="157"/>
      <c r="K397" s="156"/>
      <c r="L397" s="154"/>
      <c r="M397" s="609" t="str">
        <f>IF(L397="","",IF(E397="","",IF('1B.TransitionalProg'!$H$8&gt;0,"",VLOOKUP($E397,' 1A.Prop&amp;Residents'!$P$41:$R$47,2,FALSE))))</f>
        <v/>
      </c>
      <c r="N397" s="609" t="str">
        <f>IF(L397="","",IF(E397="","",IF('1B.TransitionalProg'!$H$8&gt;0,"",VLOOKUP($E397,' 1A.Prop&amp;Residents'!$P$41:$R$47,3,FALSE))))</f>
        <v/>
      </c>
      <c r="O397" s="610" t="str">
        <f>IF(L397="", "", IF(E397="", "", IF('1B.TransitionalProg'!$H$8&gt;0,"",IF(L397&lt;M397,"overHOUSED?",IF(L397&gt;N397, "OVERcrowded?","")))))</f>
        <v/>
      </c>
      <c r="P397" s="623"/>
      <c r="Q397" s="154"/>
      <c r="R397" s="154"/>
      <c r="S397" s="156"/>
      <c r="T397" s="156"/>
      <c r="U397" s="156"/>
      <c r="V397" s="156"/>
      <c r="W397" s="1580" t="str">
        <f t="shared" si="15"/>
        <v/>
      </c>
      <c r="X397" s="155"/>
      <c r="Y397" s="156"/>
      <c r="Z397" s="233" t="str">
        <f t="shared" si="16"/>
        <v/>
      </c>
      <c r="AA397" s="1447">
        <f>VLOOKUP($C397,'3B.Demographic'!$C$15:$N$414,6,FALSE)</f>
        <v>0</v>
      </c>
      <c r="AB397" s="1447">
        <f>VLOOKUP($C397,'3B.Demographic'!$C$15:$N$414,7,FALSE)</f>
        <v>0</v>
      </c>
      <c r="AC397" s="1447">
        <f>VLOOKUP($C397,'3B.Demographic'!$C$15:$N$414,8,FALSE)</f>
        <v>0</v>
      </c>
      <c r="AD397" s="1447">
        <f>VLOOKUP($C397,'3B.Demographic'!$C$15:$N$414,9,FALSE)</f>
        <v>0</v>
      </c>
      <c r="AE397" s="1447">
        <f>VLOOKUP($C397,'3B.Demographic'!$C$15:$N$414,10,FALSE)</f>
        <v>0</v>
      </c>
      <c r="AF397" s="1475">
        <f>VLOOKUP($C397,'3B.Demographic'!$C$15:$N$414,11,FALSE)</f>
        <v>0</v>
      </c>
      <c r="AG397" s="1229">
        <f>VLOOKUP($C397,'3B.Demographic'!$C$15:$N$414,12,FALSE)</f>
        <v>0</v>
      </c>
    </row>
    <row r="398" spans="1:33" ht="20.100000000000001" customHeight="1">
      <c r="A398" s="217" t="str">
        <f>IF(D398&lt;&gt;"", ' 1A.Prop&amp;Residents'!$B$7, "")</f>
        <v/>
      </c>
      <c r="B398" s="217" t="str">
        <f t="shared" si="17"/>
        <v/>
      </c>
      <c r="C398" s="34">
        <v>384</v>
      </c>
      <c r="D398" s="153"/>
      <c r="E398" s="154"/>
      <c r="F398" s="1775"/>
      <c r="G398" s="155"/>
      <c r="H398" s="156"/>
      <c r="I398" s="154"/>
      <c r="J398" s="157"/>
      <c r="K398" s="156"/>
      <c r="L398" s="154"/>
      <c r="M398" s="609" t="str">
        <f>IF(L398="","",IF(E398="","",IF('1B.TransitionalProg'!$H$8&gt;0,"",VLOOKUP($E398,' 1A.Prop&amp;Residents'!$P$41:$R$47,2,FALSE))))</f>
        <v/>
      </c>
      <c r="N398" s="609" t="str">
        <f>IF(L398="","",IF(E398="","",IF('1B.TransitionalProg'!$H$8&gt;0,"",VLOOKUP($E398,' 1A.Prop&amp;Residents'!$P$41:$R$47,3,FALSE))))</f>
        <v/>
      </c>
      <c r="O398" s="610" t="str">
        <f>IF(L398="", "", IF(E398="", "", IF('1B.TransitionalProg'!$H$8&gt;0,"",IF(L398&lt;M398,"overHOUSED?",IF(L398&gt;N398, "OVERcrowded?","")))))</f>
        <v/>
      </c>
      <c r="P398" s="623"/>
      <c r="Q398" s="154"/>
      <c r="R398" s="154"/>
      <c r="S398" s="156"/>
      <c r="T398" s="156"/>
      <c r="U398" s="156"/>
      <c r="V398" s="156"/>
      <c r="W398" s="1580" t="str">
        <f t="shared" si="15"/>
        <v/>
      </c>
      <c r="X398" s="155"/>
      <c r="Y398" s="156"/>
      <c r="Z398" s="233" t="str">
        <f t="shared" si="16"/>
        <v/>
      </c>
      <c r="AA398" s="1447">
        <f>VLOOKUP($C398,'3B.Demographic'!$C$15:$N$414,6,FALSE)</f>
        <v>0</v>
      </c>
      <c r="AB398" s="1447">
        <f>VLOOKUP($C398,'3B.Demographic'!$C$15:$N$414,7,FALSE)</f>
        <v>0</v>
      </c>
      <c r="AC398" s="1447">
        <f>VLOOKUP($C398,'3B.Demographic'!$C$15:$N$414,8,FALSE)</f>
        <v>0</v>
      </c>
      <c r="AD398" s="1447">
        <f>VLOOKUP($C398,'3B.Demographic'!$C$15:$N$414,9,FALSE)</f>
        <v>0</v>
      </c>
      <c r="AE398" s="1447">
        <f>VLOOKUP($C398,'3B.Demographic'!$C$15:$N$414,10,FALSE)</f>
        <v>0</v>
      </c>
      <c r="AF398" s="1475">
        <f>VLOOKUP($C398,'3B.Demographic'!$C$15:$N$414,11,FALSE)</f>
        <v>0</v>
      </c>
      <c r="AG398" s="1229">
        <f>VLOOKUP($C398,'3B.Demographic'!$C$15:$N$414,12,FALSE)</f>
        <v>0</v>
      </c>
    </row>
    <row r="399" spans="1:33" ht="20.100000000000001" customHeight="1">
      <c r="A399" s="217" t="str">
        <f>IF(D399&lt;&gt;"", ' 1A.Prop&amp;Residents'!$B$7, "")</f>
        <v/>
      </c>
      <c r="B399" s="217" t="str">
        <f t="shared" si="17"/>
        <v/>
      </c>
      <c r="C399" s="34">
        <v>385</v>
      </c>
      <c r="D399" s="153"/>
      <c r="E399" s="154"/>
      <c r="F399" s="1775"/>
      <c r="G399" s="155"/>
      <c r="H399" s="156"/>
      <c r="I399" s="154"/>
      <c r="J399" s="157"/>
      <c r="K399" s="156"/>
      <c r="L399" s="154"/>
      <c r="M399" s="609" t="str">
        <f>IF(L399="","",IF(E399="","",IF('1B.TransitionalProg'!$H$8&gt;0,"",VLOOKUP($E399,' 1A.Prop&amp;Residents'!$P$41:$R$47,2,FALSE))))</f>
        <v/>
      </c>
      <c r="N399" s="609" t="str">
        <f>IF(L399="","",IF(E399="","",IF('1B.TransitionalProg'!$H$8&gt;0,"",VLOOKUP($E399,' 1A.Prop&amp;Residents'!$P$41:$R$47,3,FALSE))))</f>
        <v/>
      </c>
      <c r="O399" s="610" t="str">
        <f>IF(L399="", "", IF(E399="", "", IF('1B.TransitionalProg'!$H$8&gt;0,"",IF(L399&lt;M399,"overHOUSED?",IF(L399&gt;N399, "OVERcrowded?","")))))</f>
        <v/>
      </c>
      <c r="P399" s="623"/>
      <c r="Q399" s="154"/>
      <c r="R399" s="154"/>
      <c r="S399" s="156"/>
      <c r="T399" s="156"/>
      <c r="U399" s="156"/>
      <c r="V399" s="156"/>
      <c r="W399" s="1580" t="str">
        <f t="shared" si="15"/>
        <v/>
      </c>
      <c r="X399" s="155"/>
      <c r="Y399" s="156"/>
      <c r="Z399" s="233" t="str">
        <f t="shared" si="16"/>
        <v/>
      </c>
      <c r="AA399" s="1447">
        <f>VLOOKUP($C399,'3B.Demographic'!$C$15:$N$414,6,FALSE)</f>
        <v>0</v>
      </c>
      <c r="AB399" s="1447">
        <f>VLOOKUP($C399,'3B.Demographic'!$C$15:$N$414,7,FALSE)</f>
        <v>0</v>
      </c>
      <c r="AC399" s="1447">
        <f>VLOOKUP($C399,'3B.Demographic'!$C$15:$N$414,8,FALSE)</f>
        <v>0</v>
      </c>
      <c r="AD399" s="1447">
        <f>VLOOKUP($C399,'3B.Demographic'!$C$15:$N$414,9,FALSE)</f>
        <v>0</v>
      </c>
      <c r="AE399" s="1447">
        <f>VLOOKUP($C399,'3B.Demographic'!$C$15:$N$414,10,FALSE)</f>
        <v>0</v>
      </c>
      <c r="AF399" s="1475">
        <f>VLOOKUP($C399,'3B.Demographic'!$C$15:$N$414,11,FALSE)</f>
        <v>0</v>
      </c>
      <c r="AG399" s="1229">
        <f>VLOOKUP($C399,'3B.Demographic'!$C$15:$N$414,12,FALSE)</f>
        <v>0</v>
      </c>
    </row>
    <row r="400" spans="1:33" ht="20.100000000000001" customHeight="1">
      <c r="A400" s="217" t="str">
        <f>IF(D400&lt;&gt;"", ' 1A.Prop&amp;Residents'!$B$7, "")</f>
        <v/>
      </c>
      <c r="B400" s="217" t="str">
        <f t="shared" si="17"/>
        <v/>
      </c>
      <c r="C400" s="34">
        <v>386</v>
      </c>
      <c r="D400" s="153"/>
      <c r="E400" s="154"/>
      <c r="F400" s="1775"/>
      <c r="G400" s="155"/>
      <c r="H400" s="156"/>
      <c r="I400" s="154"/>
      <c r="J400" s="157"/>
      <c r="K400" s="156"/>
      <c r="L400" s="154"/>
      <c r="M400" s="609" t="str">
        <f>IF(L400="","",IF(E400="","",IF('1B.TransitionalProg'!$H$8&gt;0,"",VLOOKUP($E400,' 1A.Prop&amp;Residents'!$P$41:$R$47,2,FALSE))))</f>
        <v/>
      </c>
      <c r="N400" s="609" t="str">
        <f>IF(L400="","",IF(E400="","",IF('1B.TransitionalProg'!$H$8&gt;0,"",VLOOKUP($E400,' 1A.Prop&amp;Residents'!$P$41:$R$47,3,FALSE))))</f>
        <v/>
      </c>
      <c r="O400" s="610" t="str">
        <f>IF(L400="", "", IF(E400="", "", IF('1B.TransitionalProg'!$H$8&gt;0,"",IF(L400&lt;M400,"overHOUSED?",IF(L400&gt;N400, "OVERcrowded?","")))))</f>
        <v/>
      </c>
      <c r="P400" s="623"/>
      <c r="Q400" s="154"/>
      <c r="R400" s="154"/>
      <c r="S400" s="156"/>
      <c r="T400" s="156"/>
      <c r="U400" s="156"/>
      <c r="V400" s="156"/>
      <c r="W400" s="1580" t="str">
        <f t="shared" ref="W400:W414" si="18">IF(U400&gt;0, IF(K400&gt;0, (U400+V400)*12/K400, ""),"")</f>
        <v/>
      </c>
      <c r="X400" s="155"/>
      <c r="Y400" s="156"/>
      <c r="Z400" s="233" t="str">
        <f t="shared" ref="Z400:Z414" si="19">IF(Y400="", "", IF(U400-Y400=0,"",IF(V400&gt;0,  Y400/(U400+V400-Y400),Y400/(U400-Y400))))</f>
        <v/>
      </c>
      <c r="AA400" s="1447">
        <f>VLOOKUP($C400,'3B.Demographic'!$C$15:$N$414,6,FALSE)</f>
        <v>0</v>
      </c>
      <c r="AB400" s="1447">
        <f>VLOOKUP($C400,'3B.Demographic'!$C$15:$N$414,7,FALSE)</f>
        <v>0</v>
      </c>
      <c r="AC400" s="1447">
        <f>VLOOKUP($C400,'3B.Demographic'!$C$15:$N$414,8,FALSE)</f>
        <v>0</v>
      </c>
      <c r="AD400" s="1447">
        <f>VLOOKUP($C400,'3B.Demographic'!$C$15:$N$414,9,FALSE)</f>
        <v>0</v>
      </c>
      <c r="AE400" s="1447">
        <f>VLOOKUP($C400,'3B.Demographic'!$C$15:$N$414,10,FALSE)</f>
        <v>0</v>
      </c>
      <c r="AF400" s="1475">
        <f>VLOOKUP($C400,'3B.Demographic'!$C$15:$N$414,11,FALSE)</f>
        <v>0</v>
      </c>
      <c r="AG400" s="1229">
        <f>VLOOKUP($C400,'3B.Demographic'!$C$15:$N$414,12,FALSE)</f>
        <v>0</v>
      </c>
    </row>
    <row r="401" spans="1:33" ht="20.100000000000001" customHeight="1">
      <c r="A401" s="217" t="str">
        <f>IF(D401&lt;&gt;"", ' 1A.Prop&amp;Residents'!$B$7, "")</f>
        <v/>
      </c>
      <c r="B401" s="217" t="str">
        <f t="shared" ref="B401:B414" si="20">IF(D401&lt;&gt;"", B$15, "")</f>
        <v/>
      </c>
      <c r="C401" s="34">
        <v>387</v>
      </c>
      <c r="D401" s="153"/>
      <c r="E401" s="154"/>
      <c r="F401" s="1775"/>
      <c r="G401" s="155"/>
      <c r="H401" s="156"/>
      <c r="I401" s="154"/>
      <c r="J401" s="157"/>
      <c r="K401" s="156"/>
      <c r="L401" s="154"/>
      <c r="M401" s="609" t="str">
        <f>IF(L401="","",IF(E401="","",IF('1B.TransitionalProg'!$H$8&gt;0,"",VLOOKUP($E401,' 1A.Prop&amp;Residents'!$P$41:$R$47,2,FALSE))))</f>
        <v/>
      </c>
      <c r="N401" s="609" t="str">
        <f>IF(L401="","",IF(E401="","",IF('1B.TransitionalProg'!$H$8&gt;0,"",VLOOKUP($E401,' 1A.Prop&amp;Residents'!$P$41:$R$47,3,FALSE))))</f>
        <v/>
      </c>
      <c r="O401" s="610" t="str">
        <f>IF(L401="", "", IF(E401="", "", IF('1B.TransitionalProg'!$H$8&gt;0,"",IF(L401&lt;M401,"overHOUSED?",IF(L401&gt;N401, "OVERcrowded?","")))))</f>
        <v/>
      </c>
      <c r="P401" s="623"/>
      <c r="Q401" s="154"/>
      <c r="R401" s="154"/>
      <c r="S401" s="156"/>
      <c r="T401" s="156"/>
      <c r="U401" s="156"/>
      <c r="V401" s="156"/>
      <c r="W401" s="1580" t="str">
        <f t="shared" si="18"/>
        <v/>
      </c>
      <c r="X401" s="155"/>
      <c r="Y401" s="156"/>
      <c r="Z401" s="233" t="str">
        <f t="shared" si="19"/>
        <v/>
      </c>
      <c r="AA401" s="1447">
        <f>VLOOKUP($C401,'3B.Demographic'!$C$15:$N$414,6,FALSE)</f>
        <v>0</v>
      </c>
      <c r="AB401" s="1447">
        <f>VLOOKUP($C401,'3B.Demographic'!$C$15:$N$414,7,FALSE)</f>
        <v>0</v>
      </c>
      <c r="AC401" s="1447">
        <f>VLOOKUP($C401,'3B.Demographic'!$C$15:$N$414,8,FALSE)</f>
        <v>0</v>
      </c>
      <c r="AD401" s="1447">
        <f>VLOOKUP($C401,'3B.Demographic'!$C$15:$N$414,9,FALSE)</f>
        <v>0</v>
      </c>
      <c r="AE401" s="1447">
        <f>VLOOKUP($C401,'3B.Demographic'!$C$15:$N$414,10,FALSE)</f>
        <v>0</v>
      </c>
      <c r="AF401" s="1475">
        <f>VLOOKUP($C401,'3B.Demographic'!$C$15:$N$414,11,FALSE)</f>
        <v>0</v>
      </c>
      <c r="AG401" s="1229">
        <f>VLOOKUP($C401,'3B.Demographic'!$C$15:$N$414,12,FALSE)</f>
        <v>0</v>
      </c>
    </row>
    <row r="402" spans="1:33" ht="20.100000000000001" customHeight="1">
      <c r="A402" s="217" t="str">
        <f>IF(D402&lt;&gt;"", ' 1A.Prop&amp;Residents'!$B$7, "")</f>
        <v/>
      </c>
      <c r="B402" s="217" t="str">
        <f t="shared" si="20"/>
        <v/>
      </c>
      <c r="C402" s="34">
        <v>388</v>
      </c>
      <c r="D402" s="153"/>
      <c r="E402" s="154"/>
      <c r="F402" s="1775"/>
      <c r="G402" s="155"/>
      <c r="H402" s="156"/>
      <c r="I402" s="154"/>
      <c r="J402" s="157"/>
      <c r="K402" s="156"/>
      <c r="L402" s="154"/>
      <c r="M402" s="609" t="str">
        <f>IF(L402="","",IF(E402="","",IF('1B.TransitionalProg'!$H$8&gt;0,"",VLOOKUP($E402,' 1A.Prop&amp;Residents'!$P$41:$R$47,2,FALSE))))</f>
        <v/>
      </c>
      <c r="N402" s="609" t="str">
        <f>IF(L402="","",IF(E402="","",IF('1B.TransitionalProg'!$H$8&gt;0,"",VLOOKUP($E402,' 1A.Prop&amp;Residents'!$P$41:$R$47,3,FALSE))))</f>
        <v/>
      </c>
      <c r="O402" s="610" t="str">
        <f>IF(L402="", "", IF(E402="", "", IF('1B.TransitionalProg'!$H$8&gt;0,"",IF(L402&lt;M402,"overHOUSED?",IF(L402&gt;N402, "OVERcrowded?","")))))</f>
        <v/>
      </c>
      <c r="P402" s="623"/>
      <c r="Q402" s="154"/>
      <c r="R402" s="154"/>
      <c r="S402" s="156"/>
      <c r="T402" s="156"/>
      <c r="U402" s="156"/>
      <c r="V402" s="156"/>
      <c r="W402" s="1580" t="str">
        <f t="shared" si="18"/>
        <v/>
      </c>
      <c r="X402" s="155"/>
      <c r="Y402" s="156"/>
      <c r="Z402" s="233" t="str">
        <f t="shared" si="19"/>
        <v/>
      </c>
      <c r="AA402" s="1447">
        <f>VLOOKUP($C402,'3B.Demographic'!$C$15:$N$414,6,FALSE)</f>
        <v>0</v>
      </c>
      <c r="AB402" s="1447">
        <f>VLOOKUP($C402,'3B.Demographic'!$C$15:$N$414,7,FALSE)</f>
        <v>0</v>
      </c>
      <c r="AC402" s="1447">
        <f>VLOOKUP($C402,'3B.Demographic'!$C$15:$N$414,8,FALSE)</f>
        <v>0</v>
      </c>
      <c r="AD402" s="1447">
        <f>VLOOKUP($C402,'3B.Demographic'!$C$15:$N$414,9,FALSE)</f>
        <v>0</v>
      </c>
      <c r="AE402" s="1447">
        <f>VLOOKUP($C402,'3B.Demographic'!$C$15:$N$414,10,FALSE)</f>
        <v>0</v>
      </c>
      <c r="AF402" s="1475">
        <f>VLOOKUP($C402,'3B.Demographic'!$C$15:$N$414,11,FALSE)</f>
        <v>0</v>
      </c>
      <c r="AG402" s="1229">
        <f>VLOOKUP($C402,'3B.Demographic'!$C$15:$N$414,12,FALSE)</f>
        <v>0</v>
      </c>
    </row>
    <row r="403" spans="1:33" ht="20.100000000000001" customHeight="1">
      <c r="A403" s="217" t="str">
        <f>IF(D403&lt;&gt;"", ' 1A.Prop&amp;Residents'!$B$7, "")</f>
        <v/>
      </c>
      <c r="B403" s="217" t="str">
        <f t="shared" si="20"/>
        <v/>
      </c>
      <c r="C403" s="34">
        <v>389</v>
      </c>
      <c r="D403" s="153"/>
      <c r="E403" s="154"/>
      <c r="F403" s="1775"/>
      <c r="G403" s="155"/>
      <c r="H403" s="156"/>
      <c r="I403" s="154"/>
      <c r="J403" s="157"/>
      <c r="K403" s="156"/>
      <c r="L403" s="154"/>
      <c r="M403" s="609" t="str">
        <f>IF(L403="","",IF(E403="","",IF('1B.TransitionalProg'!$H$8&gt;0,"",VLOOKUP($E403,' 1A.Prop&amp;Residents'!$P$41:$R$47,2,FALSE))))</f>
        <v/>
      </c>
      <c r="N403" s="609" t="str">
        <f>IF(L403="","",IF(E403="","",IF('1B.TransitionalProg'!$H$8&gt;0,"",VLOOKUP($E403,' 1A.Prop&amp;Residents'!$P$41:$R$47,3,FALSE))))</f>
        <v/>
      </c>
      <c r="O403" s="610" t="str">
        <f>IF(L403="", "", IF(E403="", "", IF('1B.TransitionalProg'!$H$8&gt;0,"",IF(L403&lt;M403,"overHOUSED?",IF(L403&gt;N403, "OVERcrowded?","")))))</f>
        <v/>
      </c>
      <c r="P403" s="623"/>
      <c r="Q403" s="154"/>
      <c r="R403" s="154"/>
      <c r="S403" s="156"/>
      <c r="T403" s="156"/>
      <c r="U403" s="156"/>
      <c r="V403" s="156"/>
      <c r="W403" s="1580" t="str">
        <f t="shared" si="18"/>
        <v/>
      </c>
      <c r="X403" s="155"/>
      <c r="Y403" s="156"/>
      <c r="Z403" s="233" t="str">
        <f t="shared" si="19"/>
        <v/>
      </c>
      <c r="AA403" s="1447">
        <f>VLOOKUP($C403,'3B.Demographic'!$C$15:$N$414,6,FALSE)</f>
        <v>0</v>
      </c>
      <c r="AB403" s="1447">
        <f>VLOOKUP($C403,'3B.Demographic'!$C$15:$N$414,7,FALSE)</f>
        <v>0</v>
      </c>
      <c r="AC403" s="1447">
        <f>VLOOKUP($C403,'3B.Demographic'!$C$15:$N$414,8,FALSE)</f>
        <v>0</v>
      </c>
      <c r="AD403" s="1447">
        <f>VLOOKUP($C403,'3B.Demographic'!$C$15:$N$414,9,FALSE)</f>
        <v>0</v>
      </c>
      <c r="AE403" s="1447">
        <f>VLOOKUP($C403,'3B.Demographic'!$C$15:$N$414,10,FALSE)</f>
        <v>0</v>
      </c>
      <c r="AF403" s="1475">
        <f>VLOOKUP($C403,'3B.Demographic'!$C$15:$N$414,11,FALSE)</f>
        <v>0</v>
      </c>
      <c r="AG403" s="1229">
        <f>VLOOKUP($C403,'3B.Demographic'!$C$15:$N$414,12,FALSE)</f>
        <v>0</v>
      </c>
    </row>
    <row r="404" spans="1:33" ht="20.100000000000001" customHeight="1">
      <c r="A404" s="217" t="str">
        <f>IF(D404&lt;&gt;"", ' 1A.Prop&amp;Residents'!$B$7, "")</f>
        <v/>
      </c>
      <c r="B404" s="217" t="str">
        <f t="shared" si="20"/>
        <v/>
      </c>
      <c r="C404" s="34">
        <v>390</v>
      </c>
      <c r="D404" s="153"/>
      <c r="E404" s="154"/>
      <c r="F404" s="1775"/>
      <c r="G404" s="155"/>
      <c r="H404" s="156"/>
      <c r="I404" s="154"/>
      <c r="J404" s="157"/>
      <c r="K404" s="156"/>
      <c r="L404" s="154"/>
      <c r="M404" s="609" t="str">
        <f>IF(L404="","",IF(E404="","",IF('1B.TransitionalProg'!$H$8&gt;0,"",VLOOKUP($E404,' 1A.Prop&amp;Residents'!$P$41:$R$47,2,FALSE))))</f>
        <v/>
      </c>
      <c r="N404" s="609" t="str">
        <f>IF(L404="","",IF(E404="","",IF('1B.TransitionalProg'!$H$8&gt;0,"",VLOOKUP($E404,' 1A.Prop&amp;Residents'!$P$41:$R$47,3,FALSE))))</f>
        <v/>
      </c>
      <c r="O404" s="610" t="str">
        <f>IF(L404="", "", IF(E404="", "", IF('1B.TransitionalProg'!$H$8&gt;0,"",IF(L404&lt;M404,"overHOUSED?",IF(L404&gt;N404, "OVERcrowded?","")))))</f>
        <v/>
      </c>
      <c r="P404" s="623"/>
      <c r="Q404" s="154"/>
      <c r="R404" s="154"/>
      <c r="S404" s="156"/>
      <c r="T404" s="156"/>
      <c r="U404" s="156"/>
      <c r="V404" s="156"/>
      <c r="W404" s="1580" t="str">
        <f t="shared" si="18"/>
        <v/>
      </c>
      <c r="X404" s="155"/>
      <c r="Y404" s="156"/>
      <c r="Z404" s="233" t="str">
        <f t="shared" si="19"/>
        <v/>
      </c>
      <c r="AA404" s="1447">
        <f>VLOOKUP($C404,'3B.Demographic'!$C$15:$N$414,6,FALSE)</f>
        <v>0</v>
      </c>
      <c r="AB404" s="1447">
        <f>VLOOKUP($C404,'3B.Demographic'!$C$15:$N$414,7,FALSE)</f>
        <v>0</v>
      </c>
      <c r="AC404" s="1447">
        <f>VLOOKUP($C404,'3B.Demographic'!$C$15:$N$414,8,FALSE)</f>
        <v>0</v>
      </c>
      <c r="AD404" s="1447">
        <f>VLOOKUP($C404,'3B.Demographic'!$C$15:$N$414,9,FALSE)</f>
        <v>0</v>
      </c>
      <c r="AE404" s="1447">
        <f>VLOOKUP($C404,'3B.Demographic'!$C$15:$N$414,10,FALSE)</f>
        <v>0</v>
      </c>
      <c r="AF404" s="1475">
        <f>VLOOKUP($C404,'3B.Demographic'!$C$15:$N$414,11,FALSE)</f>
        <v>0</v>
      </c>
      <c r="AG404" s="1229">
        <f>VLOOKUP($C404,'3B.Demographic'!$C$15:$N$414,12,FALSE)</f>
        <v>0</v>
      </c>
    </row>
    <row r="405" spans="1:33" ht="20.100000000000001" customHeight="1">
      <c r="A405" s="217" t="str">
        <f>IF(D405&lt;&gt;"", ' 1A.Prop&amp;Residents'!$B$7, "")</f>
        <v/>
      </c>
      <c r="B405" s="217" t="str">
        <f t="shared" si="20"/>
        <v/>
      </c>
      <c r="C405" s="34">
        <v>391</v>
      </c>
      <c r="D405" s="153"/>
      <c r="E405" s="154"/>
      <c r="F405" s="1775"/>
      <c r="G405" s="155"/>
      <c r="H405" s="156"/>
      <c r="I405" s="154"/>
      <c r="J405" s="157"/>
      <c r="K405" s="156"/>
      <c r="L405" s="154"/>
      <c r="M405" s="609" t="str">
        <f>IF(L405="","",IF(E405="","",IF('1B.TransitionalProg'!$H$8&gt;0,"",VLOOKUP($E405,' 1A.Prop&amp;Residents'!$P$41:$R$47,2,FALSE))))</f>
        <v/>
      </c>
      <c r="N405" s="609" t="str">
        <f>IF(L405="","",IF(E405="","",IF('1B.TransitionalProg'!$H$8&gt;0,"",VLOOKUP($E405,' 1A.Prop&amp;Residents'!$P$41:$R$47,3,FALSE))))</f>
        <v/>
      </c>
      <c r="O405" s="610" t="str">
        <f>IF(L405="", "", IF(E405="", "", IF('1B.TransitionalProg'!$H$8&gt;0,"",IF(L405&lt;M405,"overHOUSED?",IF(L405&gt;N405, "OVERcrowded?","")))))</f>
        <v/>
      </c>
      <c r="P405" s="623"/>
      <c r="Q405" s="154"/>
      <c r="R405" s="154"/>
      <c r="S405" s="156"/>
      <c r="T405" s="156"/>
      <c r="U405" s="156"/>
      <c r="V405" s="156"/>
      <c r="W405" s="1580" t="str">
        <f t="shared" si="18"/>
        <v/>
      </c>
      <c r="X405" s="155"/>
      <c r="Y405" s="156"/>
      <c r="Z405" s="233" t="str">
        <f t="shared" si="19"/>
        <v/>
      </c>
      <c r="AA405" s="1447">
        <f>VLOOKUP($C405,'3B.Demographic'!$C$15:$N$414,6,FALSE)</f>
        <v>0</v>
      </c>
      <c r="AB405" s="1447">
        <f>VLOOKUP($C405,'3B.Demographic'!$C$15:$N$414,7,FALSE)</f>
        <v>0</v>
      </c>
      <c r="AC405" s="1447">
        <f>VLOOKUP($C405,'3B.Demographic'!$C$15:$N$414,8,FALSE)</f>
        <v>0</v>
      </c>
      <c r="AD405" s="1447">
        <f>VLOOKUP($C405,'3B.Demographic'!$C$15:$N$414,9,FALSE)</f>
        <v>0</v>
      </c>
      <c r="AE405" s="1447">
        <f>VLOOKUP($C405,'3B.Demographic'!$C$15:$N$414,10,FALSE)</f>
        <v>0</v>
      </c>
      <c r="AF405" s="1475">
        <f>VLOOKUP($C405,'3B.Demographic'!$C$15:$N$414,11,FALSE)</f>
        <v>0</v>
      </c>
      <c r="AG405" s="1229">
        <f>VLOOKUP($C405,'3B.Demographic'!$C$15:$N$414,12,FALSE)</f>
        <v>0</v>
      </c>
    </row>
    <row r="406" spans="1:33" ht="20.100000000000001" customHeight="1">
      <c r="A406" s="217" t="str">
        <f>IF(D406&lt;&gt;"", ' 1A.Prop&amp;Residents'!$B$7, "")</f>
        <v/>
      </c>
      <c r="B406" s="217" t="str">
        <f t="shared" si="20"/>
        <v/>
      </c>
      <c r="C406" s="34">
        <v>392</v>
      </c>
      <c r="D406" s="153"/>
      <c r="E406" s="154"/>
      <c r="F406" s="1775"/>
      <c r="G406" s="155"/>
      <c r="H406" s="156"/>
      <c r="I406" s="154"/>
      <c r="J406" s="157"/>
      <c r="K406" s="156"/>
      <c r="L406" s="154"/>
      <c r="M406" s="609" t="str">
        <f>IF(L406="","",IF(E406="","",IF('1B.TransitionalProg'!$H$8&gt;0,"",VLOOKUP($E406,' 1A.Prop&amp;Residents'!$P$41:$R$47,2,FALSE))))</f>
        <v/>
      </c>
      <c r="N406" s="609" t="str">
        <f>IF(L406="","",IF(E406="","",IF('1B.TransitionalProg'!$H$8&gt;0,"",VLOOKUP($E406,' 1A.Prop&amp;Residents'!$P$41:$R$47,3,FALSE))))</f>
        <v/>
      </c>
      <c r="O406" s="610" t="str">
        <f>IF(L406="", "", IF(E406="", "", IF('1B.TransitionalProg'!$H$8&gt;0,"",IF(L406&lt;M406,"overHOUSED?",IF(L406&gt;N406, "OVERcrowded?","")))))</f>
        <v/>
      </c>
      <c r="P406" s="623"/>
      <c r="Q406" s="154"/>
      <c r="R406" s="154"/>
      <c r="S406" s="156"/>
      <c r="T406" s="156"/>
      <c r="U406" s="156"/>
      <c r="V406" s="156"/>
      <c r="W406" s="1580" t="str">
        <f t="shared" si="18"/>
        <v/>
      </c>
      <c r="X406" s="155"/>
      <c r="Y406" s="156"/>
      <c r="Z406" s="233" t="str">
        <f t="shared" si="19"/>
        <v/>
      </c>
      <c r="AA406" s="1447">
        <f>VLOOKUP($C406,'3B.Demographic'!$C$15:$N$414,6,FALSE)</f>
        <v>0</v>
      </c>
      <c r="AB406" s="1447">
        <f>VLOOKUP($C406,'3B.Demographic'!$C$15:$N$414,7,FALSE)</f>
        <v>0</v>
      </c>
      <c r="AC406" s="1447">
        <f>VLOOKUP($C406,'3B.Demographic'!$C$15:$N$414,8,FALSE)</f>
        <v>0</v>
      </c>
      <c r="AD406" s="1447">
        <f>VLOOKUP($C406,'3B.Demographic'!$C$15:$N$414,9,FALSE)</f>
        <v>0</v>
      </c>
      <c r="AE406" s="1447">
        <f>VLOOKUP($C406,'3B.Demographic'!$C$15:$N$414,10,FALSE)</f>
        <v>0</v>
      </c>
      <c r="AF406" s="1475">
        <f>VLOOKUP($C406,'3B.Demographic'!$C$15:$N$414,11,FALSE)</f>
        <v>0</v>
      </c>
      <c r="AG406" s="1229">
        <f>VLOOKUP($C406,'3B.Demographic'!$C$15:$N$414,12,FALSE)</f>
        <v>0</v>
      </c>
    </row>
    <row r="407" spans="1:33" ht="20.100000000000001" customHeight="1">
      <c r="A407" s="217" t="str">
        <f>IF(D407&lt;&gt;"", ' 1A.Prop&amp;Residents'!$B$7, "")</f>
        <v/>
      </c>
      <c r="B407" s="217" t="str">
        <f t="shared" si="20"/>
        <v/>
      </c>
      <c r="C407" s="34">
        <v>393</v>
      </c>
      <c r="D407" s="153"/>
      <c r="E407" s="154"/>
      <c r="F407" s="1775"/>
      <c r="G407" s="155"/>
      <c r="H407" s="156"/>
      <c r="I407" s="154"/>
      <c r="J407" s="157"/>
      <c r="K407" s="156"/>
      <c r="L407" s="154"/>
      <c r="M407" s="609" t="str">
        <f>IF(L407="","",IF(E407="","",IF('1B.TransitionalProg'!$H$8&gt;0,"",VLOOKUP($E407,' 1A.Prop&amp;Residents'!$P$41:$R$47,2,FALSE))))</f>
        <v/>
      </c>
      <c r="N407" s="609" t="str">
        <f>IF(L407="","",IF(E407="","",IF('1B.TransitionalProg'!$H$8&gt;0,"",VLOOKUP($E407,' 1A.Prop&amp;Residents'!$P$41:$R$47,3,FALSE))))</f>
        <v/>
      </c>
      <c r="O407" s="610" t="str">
        <f>IF(L407="", "", IF(E407="", "", IF('1B.TransitionalProg'!$H$8&gt;0,"",IF(L407&lt;M407,"overHOUSED?",IF(L407&gt;N407, "OVERcrowded?","")))))</f>
        <v/>
      </c>
      <c r="P407" s="623"/>
      <c r="Q407" s="154"/>
      <c r="R407" s="154"/>
      <c r="S407" s="156"/>
      <c r="T407" s="156"/>
      <c r="U407" s="156"/>
      <c r="V407" s="156"/>
      <c r="W407" s="1580" t="str">
        <f t="shared" si="18"/>
        <v/>
      </c>
      <c r="X407" s="155"/>
      <c r="Y407" s="156"/>
      <c r="Z407" s="233" t="str">
        <f t="shared" si="19"/>
        <v/>
      </c>
      <c r="AA407" s="1447">
        <f>VLOOKUP($C407,'3B.Demographic'!$C$15:$N$414,6,FALSE)</f>
        <v>0</v>
      </c>
      <c r="AB407" s="1447">
        <f>VLOOKUP($C407,'3B.Demographic'!$C$15:$N$414,7,FALSE)</f>
        <v>0</v>
      </c>
      <c r="AC407" s="1447">
        <f>VLOOKUP($C407,'3B.Demographic'!$C$15:$N$414,8,FALSE)</f>
        <v>0</v>
      </c>
      <c r="AD407" s="1447">
        <f>VLOOKUP($C407,'3B.Demographic'!$C$15:$N$414,9,FALSE)</f>
        <v>0</v>
      </c>
      <c r="AE407" s="1447">
        <f>VLOOKUP($C407,'3B.Demographic'!$C$15:$N$414,10,FALSE)</f>
        <v>0</v>
      </c>
      <c r="AF407" s="1475">
        <f>VLOOKUP($C407,'3B.Demographic'!$C$15:$N$414,11,FALSE)</f>
        <v>0</v>
      </c>
      <c r="AG407" s="1229">
        <f>VLOOKUP($C407,'3B.Demographic'!$C$15:$N$414,12,FALSE)</f>
        <v>0</v>
      </c>
    </row>
    <row r="408" spans="1:33" ht="20.100000000000001" customHeight="1">
      <c r="A408" s="217" t="str">
        <f>IF(D408&lt;&gt;"", ' 1A.Prop&amp;Residents'!$B$7, "")</f>
        <v/>
      </c>
      <c r="B408" s="217" t="str">
        <f t="shared" si="20"/>
        <v/>
      </c>
      <c r="C408" s="34">
        <v>394</v>
      </c>
      <c r="D408" s="153"/>
      <c r="E408" s="154"/>
      <c r="F408" s="1775"/>
      <c r="G408" s="155"/>
      <c r="H408" s="156"/>
      <c r="I408" s="154"/>
      <c r="J408" s="157"/>
      <c r="K408" s="156"/>
      <c r="L408" s="154"/>
      <c r="M408" s="609" t="str">
        <f>IF(L408="","",IF(E408="","",IF('1B.TransitionalProg'!$H$8&gt;0,"",VLOOKUP($E408,' 1A.Prop&amp;Residents'!$P$41:$R$47,2,FALSE))))</f>
        <v/>
      </c>
      <c r="N408" s="609" t="str">
        <f>IF(L408="","",IF(E408="","",IF('1B.TransitionalProg'!$H$8&gt;0,"",VLOOKUP($E408,' 1A.Prop&amp;Residents'!$P$41:$R$47,3,FALSE))))</f>
        <v/>
      </c>
      <c r="O408" s="610" t="str">
        <f>IF(L408="", "", IF(E408="", "", IF('1B.TransitionalProg'!$H$8&gt;0,"",IF(L408&lt;M408,"overHOUSED?",IF(L408&gt;N408, "OVERcrowded?","")))))</f>
        <v/>
      </c>
      <c r="P408" s="623"/>
      <c r="Q408" s="154"/>
      <c r="R408" s="154"/>
      <c r="S408" s="156"/>
      <c r="T408" s="156"/>
      <c r="U408" s="156"/>
      <c r="V408" s="156"/>
      <c r="W408" s="1580" t="str">
        <f t="shared" si="18"/>
        <v/>
      </c>
      <c r="X408" s="155"/>
      <c r="Y408" s="156"/>
      <c r="Z408" s="233" t="str">
        <f t="shared" si="19"/>
        <v/>
      </c>
      <c r="AA408" s="1447">
        <f>VLOOKUP($C408,'3B.Demographic'!$C$15:$N$414,6,FALSE)</f>
        <v>0</v>
      </c>
      <c r="AB408" s="1447">
        <f>VLOOKUP($C408,'3B.Demographic'!$C$15:$N$414,7,FALSE)</f>
        <v>0</v>
      </c>
      <c r="AC408" s="1447">
        <f>VLOOKUP($C408,'3B.Demographic'!$C$15:$N$414,8,FALSE)</f>
        <v>0</v>
      </c>
      <c r="AD408" s="1447">
        <f>VLOOKUP($C408,'3B.Demographic'!$C$15:$N$414,9,FALSE)</f>
        <v>0</v>
      </c>
      <c r="AE408" s="1447">
        <f>VLOOKUP($C408,'3B.Demographic'!$C$15:$N$414,10,FALSE)</f>
        <v>0</v>
      </c>
      <c r="AF408" s="1475">
        <f>VLOOKUP($C408,'3B.Demographic'!$C$15:$N$414,11,FALSE)</f>
        <v>0</v>
      </c>
      <c r="AG408" s="1229">
        <f>VLOOKUP($C408,'3B.Demographic'!$C$15:$N$414,12,FALSE)</f>
        <v>0</v>
      </c>
    </row>
    <row r="409" spans="1:33" ht="20.100000000000001" customHeight="1">
      <c r="A409" s="217" t="str">
        <f>IF(D409&lt;&gt;"", ' 1A.Prop&amp;Residents'!$B$7, "")</f>
        <v/>
      </c>
      <c r="B409" s="217" t="str">
        <f t="shared" si="20"/>
        <v/>
      </c>
      <c r="C409" s="34">
        <v>395</v>
      </c>
      <c r="D409" s="153"/>
      <c r="E409" s="154"/>
      <c r="F409" s="1775"/>
      <c r="G409" s="155"/>
      <c r="H409" s="156"/>
      <c r="I409" s="154"/>
      <c r="J409" s="157"/>
      <c r="K409" s="156"/>
      <c r="L409" s="154"/>
      <c r="M409" s="609" t="str">
        <f>IF(L409="","",IF(E409="","",IF('1B.TransitionalProg'!$H$8&gt;0,"",VLOOKUP($E409,' 1A.Prop&amp;Residents'!$P$41:$R$47,2,FALSE))))</f>
        <v/>
      </c>
      <c r="N409" s="609" t="str">
        <f>IF(L409="","",IF(E409="","",IF('1B.TransitionalProg'!$H$8&gt;0,"",VLOOKUP($E409,' 1A.Prop&amp;Residents'!$P$41:$R$47,3,FALSE))))</f>
        <v/>
      </c>
      <c r="O409" s="610" t="str">
        <f>IF(L409="", "", IF(E409="", "", IF('1B.TransitionalProg'!$H$8&gt;0,"",IF(L409&lt;M409,"overHOUSED?",IF(L409&gt;N409, "OVERcrowded?","")))))</f>
        <v/>
      </c>
      <c r="P409" s="623"/>
      <c r="Q409" s="154"/>
      <c r="R409" s="154"/>
      <c r="S409" s="156"/>
      <c r="T409" s="156"/>
      <c r="U409" s="156"/>
      <c r="V409" s="156"/>
      <c r="W409" s="1580" t="str">
        <f t="shared" si="18"/>
        <v/>
      </c>
      <c r="X409" s="155"/>
      <c r="Y409" s="156"/>
      <c r="Z409" s="233" t="str">
        <f t="shared" si="19"/>
        <v/>
      </c>
      <c r="AA409" s="1447">
        <f>VLOOKUP($C409,'3B.Demographic'!$C$15:$N$414,6,FALSE)</f>
        <v>0</v>
      </c>
      <c r="AB409" s="1447">
        <f>VLOOKUP($C409,'3B.Demographic'!$C$15:$N$414,7,FALSE)</f>
        <v>0</v>
      </c>
      <c r="AC409" s="1447">
        <f>VLOOKUP($C409,'3B.Demographic'!$C$15:$N$414,8,FALSE)</f>
        <v>0</v>
      </c>
      <c r="AD409" s="1447">
        <f>VLOOKUP($C409,'3B.Demographic'!$C$15:$N$414,9,FALSE)</f>
        <v>0</v>
      </c>
      <c r="AE409" s="1447">
        <f>VLOOKUP($C409,'3B.Demographic'!$C$15:$N$414,10,FALSE)</f>
        <v>0</v>
      </c>
      <c r="AF409" s="1475">
        <f>VLOOKUP($C409,'3B.Demographic'!$C$15:$N$414,11,FALSE)</f>
        <v>0</v>
      </c>
      <c r="AG409" s="1229">
        <f>VLOOKUP($C409,'3B.Demographic'!$C$15:$N$414,12,FALSE)</f>
        <v>0</v>
      </c>
    </row>
    <row r="410" spans="1:33" ht="20.100000000000001" customHeight="1">
      <c r="A410" s="217" t="str">
        <f>IF(D410&lt;&gt;"", ' 1A.Prop&amp;Residents'!$B$7, "")</f>
        <v/>
      </c>
      <c r="B410" s="217" t="str">
        <f t="shared" si="20"/>
        <v/>
      </c>
      <c r="C410" s="34">
        <v>396</v>
      </c>
      <c r="D410" s="153"/>
      <c r="E410" s="154"/>
      <c r="F410" s="1775"/>
      <c r="G410" s="155"/>
      <c r="H410" s="156"/>
      <c r="I410" s="154"/>
      <c r="J410" s="157"/>
      <c r="K410" s="156"/>
      <c r="L410" s="154"/>
      <c r="M410" s="609" t="str">
        <f>IF(L410="","",IF(E410="","",IF('1B.TransitionalProg'!$H$8&gt;0,"",VLOOKUP($E410,' 1A.Prop&amp;Residents'!$P$41:$R$47,2,FALSE))))</f>
        <v/>
      </c>
      <c r="N410" s="609" t="str">
        <f>IF(L410="","",IF(E410="","",IF('1B.TransitionalProg'!$H$8&gt;0,"",VLOOKUP($E410,' 1A.Prop&amp;Residents'!$P$41:$R$47,3,FALSE))))</f>
        <v/>
      </c>
      <c r="O410" s="610" t="str">
        <f>IF(L410="", "", IF(E410="", "", IF('1B.TransitionalProg'!$H$8&gt;0,"",IF(L410&lt;M410,"overHOUSED?",IF(L410&gt;N410, "OVERcrowded?","")))))</f>
        <v/>
      </c>
      <c r="P410" s="623"/>
      <c r="Q410" s="154"/>
      <c r="R410" s="154"/>
      <c r="S410" s="156"/>
      <c r="T410" s="156"/>
      <c r="U410" s="156"/>
      <c r="V410" s="156"/>
      <c r="W410" s="1580" t="str">
        <f t="shared" si="18"/>
        <v/>
      </c>
      <c r="X410" s="155"/>
      <c r="Y410" s="156"/>
      <c r="Z410" s="233" t="str">
        <f t="shared" si="19"/>
        <v/>
      </c>
      <c r="AA410" s="1447">
        <f>VLOOKUP($C410,'3B.Demographic'!$C$15:$N$414,6,FALSE)</f>
        <v>0</v>
      </c>
      <c r="AB410" s="1447">
        <f>VLOOKUP($C410,'3B.Demographic'!$C$15:$N$414,7,FALSE)</f>
        <v>0</v>
      </c>
      <c r="AC410" s="1447">
        <f>VLOOKUP($C410,'3B.Demographic'!$C$15:$N$414,8,FALSE)</f>
        <v>0</v>
      </c>
      <c r="AD410" s="1447">
        <f>VLOOKUP($C410,'3B.Demographic'!$C$15:$N$414,9,FALSE)</f>
        <v>0</v>
      </c>
      <c r="AE410" s="1447">
        <f>VLOOKUP($C410,'3B.Demographic'!$C$15:$N$414,10,FALSE)</f>
        <v>0</v>
      </c>
      <c r="AF410" s="1475">
        <f>VLOOKUP($C410,'3B.Demographic'!$C$15:$N$414,11,FALSE)</f>
        <v>0</v>
      </c>
      <c r="AG410" s="1229">
        <f>VLOOKUP($C410,'3B.Demographic'!$C$15:$N$414,12,FALSE)</f>
        <v>0</v>
      </c>
    </row>
    <row r="411" spans="1:33" ht="20.100000000000001" customHeight="1">
      <c r="A411" s="217" t="str">
        <f>IF(D411&lt;&gt;"", ' 1A.Prop&amp;Residents'!$B$7, "")</f>
        <v/>
      </c>
      <c r="B411" s="217" t="str">
        <f t="shared" si="20"/>
        <v/>
      </c>
      <c r="C411" s="34">
        <v>397</v>
      </c>
      <c r="D411" s="153"/>
      <c r="E411" s="154"/>
      <c r="F411" s="1775"/>
      <c r="G411" s="155"/>
      <c r="H411" s="156"/>
      <c r="I411" s="154"/>
      <c r="J411" s="157"/>
      <c r="K411" s="156"/>
      <c r="L411" s="154"/>
      <c r="M411" s="609" t="str">
        <f>IF(L411="","",IF(E411="","",IF('1B.TransitionalProg'!$H$8&gt;0,"",VLOOKUP($E411,' 1A.Prop&amp;Residents'!$P$41:$R$47,2,FALSE))))</f>
        <v/>
      </c>
      <c r="N411" s="609" t="str">
        <f>IF(L411="","",IF(E411="","",IF('1B.TransitionalProg'!$H$8&gt;0,"",VLOOKUP($E411,' 1A.Prop&amp;Residents'!$P$41:$R$47,3,FALSE))))</f>
        <v/>
      </c>
      <c r="O411" s="610" t="str">
        <f>IF(L411="", "", IF(E411="", "", IF('1B.TransitionalProg'!$H$8&gt;0,"",IF(L411&lt;M411,"overHOUSED?",IF(L411&gt;N411, "OVERcrowded?","")))))</f>
        <v/>
      </c>
      <c r="P411" s="623"/>
      <c r="Q411" s="154"/>
      <c r="R411" s="154"/>
      <c r="S411" s="156"/>
      <c r="T411" s="156"/>
      <c r="U411" s="156"/>
      <c r="V411" s="156"/>
      <c r="W411" s="1580" t="str">
        <f t="shared" si="18"/>
        <v/>
      </c>
      <c r="X411" s="155"/>
      <c r="Y411" s="156"/>
      <c r="Z411" s="233" t="str">
        <f t="shared" si="19"/>
        <v/>
      </c>
      <c r="AA411" s="1447">
        <f>VLOOKUP($C411,'3B.Demographic'!$C$15:$N$414,6,FALSE)</f>
        <v>0</v>
      </c>
      <c r="AB411" s="1447">
        <f>VLOOKUP($C411,'3B.Demographic'!$C$15:$N$414,7,FALSE)</f>
        <v>0</v>
      </c>
      <c r="AC411" s="1447">
        <f>VLOOKUP($C411,'3B.Demographic'!$C$15:$N$414,8,FALSE)</f>
        <v>0</v>
      </c>
      <c r="AD411" s="1447">
        <f>VLOOKUP($C411,'3B.Demographic'!$C$15:$N$414,9,FALSE)</f>
        <v>0</v>
      </c>
      <c r="AE411" s="1447">
        <f>VLOOKUP($C411,'3B.Demographic'!$C$15:$N$414,10,FALSE)</f>
        <v>0</v>
      </c>
      <c r="AF411" s="1475">
        <f>VLOOKUP($C411,'3B.Demographic'!$C$15:$N$414,11,FALSE)</f>
        <v>0</v>
      </c>
      <c r="AG411" s="1229">
        <f>VLOOKUP($C411,'3B.Demographic'!$C$15:$N$414,12,FALSE)</f>
        <v>0</v>
      </c>
    </row>
    <row r="412" spans="1:33" ht="20.100000000000001" customHeight="1">
      <c r="A412" s="217" t="str">
        <f>IF(D412&lt;&gt;"", ' 1A.Prop&amp;Residents'!$B$7, "")</f>
        <v/>
      </c>
      <c r="B412" s="217" t="str">
        <f t="shared" si="20"/>
        <v/>
      </c>
      <c r="C412" s="34">
        <v>398</v>
      </c>
      <c r="D412" s="153"/>
      <c r="E412" s="154"/>
      <c r="F412" s="1775"/>
      <c r="G412" s="155"/>
      <c r="H412" s="156"/>
      <c r="I412" s="154"/>
      <c r="J412" s="157"/>
      <c r="K412" s="156"/>
      <c r="L412" s="154"/>
      <c r="M412" s="609" t="str">
        <f>IF(L412="","",IF(E412="","",IF('1B.TransitionalProg'!$H$8&gt;0,"",VLOOKUP($E412,' 1A.Prop&amp;Residents'!$P$41:$R$47,2,FALSE))))</f>
        <v/>
      </c>
      <c r="N412" s="609" t="str">
        <f>IF(L412="","",IF(E412="","",IF('1B.TransitionalProg'!$H$8&gt;0,"",VLOOKUP($E412,' 1A.Prop&amp;Residents'!$P$41:$R$47,3,FALSE))))</f>
        <v/>
      </c>
      <c r="O412" s="610" t="str">
        <f>IF(L412="", "", IF(E412="", "", IF('1B.TransitionalProg'!$H$8&gt;0,"",IF(L412&lt;M412,"overHOUSED?",IF(L412&gt;N412, "OVERcrowded?","")))))</f>
        <v/>
      </c>
      <c r="P412" s="623"/>
      <c r="Q412" s="154"/>
      <c r="R412" s="154"/>
      <c r="S412" s="156"/>
      <c r="T412" s="156"/>
      <c r="U412" s="156"/>
      <c r="V412" s="156"/>
      <c r="W412" s="1580" t="str">
        <f t="shared" si="18"/>
        <v/>
      </c>
      <c r="X412" s="155"/>
      <c r="Y412" s="156"/>
      <c r="Z412" s="233" t="str">
        <f t="shared" si="19"/>
        <v/>
      </c>
      <c r="AA412" s="1447">
        <f>VLOOKUP($C412,'3B.Demographic'!$C$15:$N$414,6,FALSE)</f>
        <v>0</v>
      </c>
      <c r="AB412" s="1447">
        <f>VLOOKUP($C412,'3B.Demographic'!$C$15:$N$414,7,FALSE)</f>
        <v>0</v>
      </c>
      <c r="AC412" s="1447">
        <f>VLOOKUP($C412,'3B.Demographic'!$C$15:$N$414,8,FALSE)</f>
        <v>0</v>
      </c>
      <c r="AD412" s="1447">
        <f>VLOOKUP($C412,'3B.Demographic'!$C$15:$N$414,9,FALSE)</f>
        <v>0</v>
      </c>
      <c r="AE412" s="1447">
        <f>VLOOKUP($C412,'3B.Demographic'!$C$15:$N$414,10,FALSE)</f>
        <v>0</v>
      </c>
      <c r="AF412" s="1475">
        <f>VLOOKUP($C412,'3B.Demographic'!$C$15:$N$414,11,FALSE)</f>
        <v>0</v>
      </c>
      <c r="AG412" s="1229">
        <f>VLOOKUP($C412,'3B.Demographic'!$C$15:$N$414,12,FALSE)</f>
        <v>0</v>
      </c>
    </row>
    <row r="413" spans="1:33" ht="20.100000000000001" customHeight="1">
      <c r="A413" s="217" t="str">
        <f>IF(D413&lt;&gt;"", ' 1A.Prop&amp;Residents'!$B$7, "")</f>
        <v/>
      </c>
      <c r="B413" s="217" t="str">
        <f t="shared" si="20"/>
        <v/>
      </c>
      <c r="C413" s="34">
        <v>399</v>
      </c>
      <c r="D413" s="153"/>
      <c r="E413" s="154"/>
      <c r="F413" s="1775"/>
      <c r="G413" s="155"/>
      <c r="H413" s="156"/>
      <c r="I413" s="154"/>
      <c r="J413" s="157"/>
      <c r="K413" s="156"/>
      <c r="L413" s="154"/>
      <c r="M413" s="609" t="str">
        <f>IF(L413="","",IF(E413="","",IF('1B.TransitionalProg'!$H$8&gt;0,"",VLOOKUP($E413,' 1A.Prop&amp;Residents'!$P$41:$R$47,2,FALSE))))</f>
        <v/>
      </c>
      <c r="N413" s="609" t="str">
        <f>IF(L413="","",IF(E413="","",IF('1B.TransitionalProg'!$H$8&gt;0,"",VLOOKUP($E413,' 1A.Prop&amp;Residents'!$P$41:$R$47,3,FALSE))))</f>
        <v/>
      </c>
      <c r="O413" s="610" t="str">
        <f>IF(L413="", "", IF(E413="", "", IF('1B.TransitionalProg'!$H$8&gt;0,"",IF(L413&lt;M413,"overHOUSED?",IF(L413&gt;N413, "OVERcrowded?","")))))</f>
        <v/>
      </c>
      <c r="P413" s="623"/>
      <c r="Q413" s="154"/>
      <c r="R413" s="154"/>
      <c r="S413" s="156"/>
      <c r="T413" s="156"/>
      <c r="U413" s="156"/>
      <c r="V413" s="156"/>
      <c r="W413" s="1580" t="str">
        <f t="shared" si="18"/>
        <v/>
      </c>
      <c r="X413" s="155"/>
      <c r="Y413" s="156"/>
      <c r="Z413" s="233" t="str">
        <f t="shared" si="19"/>
        <v/>
      </c>
      <c r="AA413" s="1447">
        <f>VLOOKUP($C413,'3B.Demographic'!$C$15:$N$414,6,FALSE)</f>
        <v>0</v>
      </c>
      <c r="AB413" s="1447">
        <f>VLOOKUP($C413,'3B.Demographic'!$C$15:$N$414,7,FALSE)</f>
        <v>0</v>
      </c>
      <c r="AC413" s="1447">
        <f>VLOOKUP($C413,'3B.Demographic'!$C$15:$N$414,8,FALSE)</f>
        <v>0</v>
      </c>
      <c r="AD413" s="1447">
        <f>VLOOKUP($C413,'3B.Demographic'!$C$15:$N$414,9,FALSE)</f>
        <v>0</v>
      </c>
      <c r="AE413" s="1447">
        <f>VLOOKUP($C413,'3B.Demographic'!$C$15:$N$414,10,FALSE)</f>
        <v>0</v>
      </c>
      <c r="AF413" s="1475">
        <f>VLOOKUP($C413,'3B.Demographic'!$C$15:$N$414,11,FALSE)</f>
        <v>0</v>
      </c>
      <c r="AG413" s="1229">
        <f>VLOOKUP($C413,'3B.Demographic'!$C$15:$N$414,12,FALSE)</f>
        <v>0</v>
      </c>
    </row>
    <row r="414" spans="1:33" ht="20.100000000000001" customHeight="1">
      <c r="A414" s="217" t="str">
        <f>IF(D414&lt;&gt;"", ' 1A.Prop&amp;Residents'!$B$7, "")</f>
        <v/>
      </c>
      <c r="B414" s="217" t="str">
        <f t="shared" si="20"/>
        <v/>
      </c>
      <c r="C414" s="34">
        <v>400</v>
      </c>
      <c r="D414" s="153"/>
      <c r="E414" s="154"/>
      <c r="F414" s="1775"/>
      <c r="G414" s="155"/>
      <c r="H414" s="156"/>
      <c r="I414" s="154"/>
      <c r="J414" s="157"/>
      <c r="K414" s="156"/>
      <c r="L414" s="154"/>
      <c r="M414" s="609" t="str">
        <f>IF(L414="","",IF(E414="","",IF('1B.TransitionalProg'!$H$8&gt;0,"",VLOOKUP($E414,' 1A.Prop&amp;Residents'!$P$41:$R$47,2,FALSE))))</f>
        <v/>
      </c>
      <c r="N414" s="609" t="str">
        <f>IF(L414="","",IF(E414="","",IF('1B.TransitionalProg'!$H$8&gt;0,"",VLOOKUP($E414,' 1A.Prop&amp;Residents'!$P$41:$R$47,3,FALSE))))</f>
        <v/>
      </c>
      <c r="O414" s="610" t="str">
        <f>IF(L414="", "", IF(E414="", "", IF('1B.TransitionalProg'!$H$8&gt;0,"",IF(L414&lt;M414,"overHOUSED?",IF(L414&gt;N414, "OVERcrowded?","")))))</f>
        <v/>
      </c>
      <c r="P414" s="623"/>
      <c r="Q414" s="154"/>
      <c r="R414" s="154"/>
      <c r="S414" s="156"/>
      <c r="T414" s="156"/>
      <c r="U414" s="156"/>
      <c r="V414" s="156"/>
      <c r="W414" s="1580" t="str">
        <f t="shared" si="18"/>
        <v/>
      </c>
      <c r="X414" s="155"/>
      <c r="Y414" s="156"/>
      <c r="Z414" s="233" t="str">
        <f t="shared" si="19"/>
        <v/>
      </c>
      <c r="AA414" s="1447">
        <f>VLOOKUP($C414,'3B.Demographic'!$C$15:$N$414,6,FALSE)</f>
        <v>0</v>
      </c>
      <c r="AB414" s="1447">
        <f>VLOOKUP($C414,'3B.Demographic'!$C$15:$N$414,7,FALSE)</f>
        <v>0</v>
      </c>
      <c r="AC414" s="1447">
        <f>VLOOKUP($C414,'3B.Demographic'!$C$15:$N$414,8,FALSE)</f>
        <v>0</v>
      </c>
      <c r="AD414" s="1447">
        <f>VLOOKUP($C414,'3B.Demographic'!$C$15:$N$414,9,FALSE)</f>
        <v>0</v>
      </c>
      <c r="AE414" s="1447">
        <f>VLOOKUP($C414,'3B.Demographic'!$C$15:$N$414,10,FALSE)</f>
        <v>0</v>
      </c>
      <c r="AF414" s="1475">
        <f>VLOOKUP($C414,'3B.Demographic'!$C$15:$N$414,11,FALSE)</f>
        <v>0</v>
      </c>
      <c r="AG414" s="1229">
        <f>VLOOKUP($C414,'3B.Demographic'!$C$15:$N$414,12,FALSE)</f>
        <v>0</v>
      </c>
    </row>
    <row r="415" spans="1:33" s="19" customFormat="1" ht="20.100000000000001" hidden="1" customHeight="1">
      <c r="A415" s="1079"/>
      <c r="B415" s="1079"/>
      <c r="C415" s="1389"/>
      <c r="D415" s="1390"/>
      <c r="E415" s="1391"/>
      <c r="F415" s="1776"/>
      <c r="G415" s="1392"/>
      <c r="H415" s="1393"/>
      <c r="I415" s="1391"/>
      <c r="J415" s="1392"/>
      <c r="K415" s="1393"/>
      <c r="L415" s="1391"/>
      <c r="M415" s="1394"/>
      <c r="N415" s="1394"/>
      <c r="O415" s="1395"/>
      <c r="P415" s="1396"/>
      <c r="Q415" s="1391"/>
      <c r="R415" s="1772"/>
      <c r="S415" s="1393"/>
      <c r="T415" s="1393"/>
      <c r="U415" s="1393"/>
      <c r="V415" s="1393"/>
      <c r="W415" s="1393"/>
      <c r="X415" s="1392"/>
      <c r="Y415" s="1393"/>
      <c r="Z415" s="1397"/>
      <c r="AA415" s="1476"/>
      <c r="AB415" s="1476"/>
      <c r="AC415" s="1476"/>
      <c r="AD415" s="1476"/>
      <c r="AE415" s="1476"/>
    </row>
    <row r="416" spans="1:33" ht="69" hidden="1" customHeight="1" thickBot="1">
      <c r="A416" s="410" t="s">
        <v>568</v>
      </c>
      <c r="B416" s="411"/>
      <c r="C416" s="580"/>
      <c r="D416" s="1380">
        <f>COUNTA(D$15:D$414)</f>
        <v>0</v>
      </c>
      <c r="E416" s="1381"/>
      <c r="F416" s="1777"/>
      <c r="G416" s="1382" t="str">
        <f>IF(D416=0, "To Be Determined", IF('1B.TransitionalProg'!H8&gt;0, IF(D416&lt;&gt;'1B.TransitionalProg'!H8+' 1A.Prop&amp;Residents'!I48,"Incomplete - household counts do not match","OK"), IF(D416&lt;&gt;' 1A.Prop&amp;Residents'!I48, "Incomplete - unit counts do not match", "OK")))</f>
        <v>To Be Determined</v>
      </c>
      <c r="H416" s="607" t="s">
        <v>676</v>
      </c>
      <c r="I416" s="581"/>
      <c r="J416" s="581"/>
      <c r="K416" s="606"/>
      <c r="L416" s="580">
        <f>SUM(L15:L415)</f>
        <v>0</v>
      </c>
      <c r="M416" s="977" t="s">
        <v>675</v>
      </c>
      <c r="N416" s="1383" t="str">
        <f>IF(AND(L416=0,O416=0), "To Be Determined", IF(O416&gt;P416, "Incomplete - Narrative not entered for all required rows", "OK"))</f>
        <v>To Be Determined</v>
      </c>
      <c r="O416" s="1384">
        <f>COUNTIF(O15:O414, "*over*")</f>
        <v>0</v>
      </c>
      <c r="P416" s="1385">
        <f>COUNTA(P$15:P$414)</f>
        <v>0</v>
      </c>
      <c r="Q416" s="1386"/>
      <c r="R416" s="1386">
        <f>COUNTA(R$15:R$414)</f>
        <v>0</v>
      </c>
      <c r="S416" s="2081" t="s">
        <v>677</v>
      </c>
      <c r="T416" s="2081"/>
      <c r="U416" s="1387" t="str">
        <f>IF(D416=0, "To Be Determined", IF(D416&gt;R416, "Incomplete - Rental Assistance Type Not Entered", IF(D416&gt;V416, "Incomplete - Utility Allowances Not Entered","OK")))</f>
        <v>To Be Determined</v>
      </c>
      <c r="V416" s="1388">
        <f>COUNTA(V$15:V$414)</f>
        <v>0</v>
      </c>
      <c r="W416" s="1579"/>
      <c r="X416" s="581"/>
      <c r="Y416" s="582"/>
      <c r="Z416" s="583"/>
    </row>
    <row r="417" spans="1:21" ht="20.100000000000001" hidden="1" customHeight="1">
      <c r="A417" s="579" t="s">
        <v>567</v>
      </c>
      <c r="E417" s="890">
        <f>SUM(G417,N417,U417)</f>
        <v>0</v>
      </c>
      <c r="F417" s="1778"/>
      <c r="G417" s="889">
        <f>IF(G416="ok",1,0)</f>
        <v>0</v>
      </c>
      <c r="N417" s="889">
        <f>IF(N416="ok",1,0)</f>
        <v>0</v>
      </c>
      <c r="U417" s="889">
        <f>IF(U416="ok",1,0)</f>
        <v>0</v>
      </c>
    </row>
    <row r="418" spans="1:21" ht="20.100000000000001" hidden="1" customHeight="1">
      <c r="E418" s="891" t="s">
        <v>1194</v>
      </c>
      <c r="F418" s="1779"/>
    </row>
    <row r="419" spans="1:21" ht="20.100000000000001" hidden="1" customHeight="1"/>
    <row r="420" spans="1:21" ht="20.100000000000001" hidden="1" customHeight="1"/>
    <row r="421" spans="1:21" ht="20.100000000000001" hidden="1" customHeight="1"/>
    <row r="422" spans="1:21" ht="20.100000000000001" hidden="1" customHeight="1"/>
    <row r="423" spans="1:21" ht="20.100000000000001" hidden="1" customHeight="1"/>
    <row r="424" spans="1:21" ht="20.100000000000001" hidden="1" customHeight="1"/>
    <row r="425" spans="1:21" ht="20.100000000000001" hidden="1" customHeight="1"/>
    <row r="426" spans="1:21" ht="20.100000000000001" hidden="1" customHeight="1"/>
    <row r="427" spans="1:21" ht="20.100000000000001" hidden="1" customHeight="1"/>
    <row r="428" spans="1:21" ht="20.100000000000001" hidden="1" customHeight="1"/>
    <row r="429" spans="1:21" ht="20.100000000000001" hidden="1" customHeight="1"/>
    <row r="430" spans="1:21" ht="20.100000000000001" hidden="1" customHeight="1"/>
    <row r="431" spans="1:21" ht="20.100000000000001" hidden="1" customHeight="1"/>
    <row r="432" spans="1:21" ht="20.100000000000001" hidden="1" customHeight="1"/>
    <row r="433" ht="20.100000000000001" hidden="1" customHeight="1"/>
    <row r="434" ht="20.100000000000001" hidden="1" customHeight="1"/>
    <row r="435" ht="20.100000000000001" hidden="1" customHeight="1"/>
    <row r="436" ht="20.100000000000001" hidden="1" customHeight="1"/>
    <row r="437" ht="20.100000000000001" hidden="1" customHeight="1"/>
    <row r="438" ht="20.100000000000001" hidden="1" customHeight="1"/>
    <row r="439" ht="20.100000000000001" hidden="1" customHeight="1"/>
    <row r="440" ht="20.100000000000001" hidden="1" customHeight="1"/>
    <row r="441" ht="20.100000000000001" hidden="1" customHeight="1"/>
    <row r="442" ht="20.100000000000001" hidden="1" customHeight="1"/>
    <row r="443" ht="20.100000000000001" hidden="1" customHeight="1"/>
    <row r="444" ht="20.100000000000001" hidden="1" customHeight="1"/>
    <row r="445" ht="20.100000000000001" hidden="1" customHeight="1"/>
    <row r="446" ht="20.100000000000001" hidden="1" customHeight="1"/>
    <row r="447" ht="20.100000000000001" hidden="1" customHeight="1"/>
    <row r="448"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row r="454" ht="20.100000000000001" hidden="1" customHeight="1"/>
    <row r="455" ht="20.100000000000001" hidden="1" customHeight="1"/>
  </sheetData>
  <sheetProtection algorithmName="SHA-512" hashValue="GLvPHbsIlrCUKZmFi5SieigwGzK7zC0k0CgBaIfqLNbS9qdmyNHliIQmI+3veTT7LogKwzj+uPSbMn+SmKkhtg==" saltValue="C2fm+0fa3pQRkVcwe0ZNVA==" spinCount="100000" sheet="1" objects="1" scenarios="1"/>
  <customSheetViews>
    <customSheetView guid="{A4F761B4-88B3-4464-91E0-1CCCDBCD1B8B}" scale="75" showGridLines="0" fitToPage="1" hiddenColumns="1" showRuler="0">
      <pane ySplit="12" topLeftCell="A13" activePane="bottomLeft" state="frozen"/>
      <selection pane="bottomLeft" activeCell="A13" sqref="A13"/>
      <rowBreaks count="11" manualBreakCount="11">
        <brk id="45" max="21" man="1"/>
        <brk id="79" max="21" man="1"/>
        <brk id="113" max="21" man="1"/>
        <brk id="145" max="21" man="1"/>
        <brk id="178" max="21" man="1"/>
        <brk id="211" max="21" man="1"/>
        <brk id="245" max="21" man="1"/>
        <brk id="279" max="21" man="1"/>
        <brk id="310" max="21" man="1"/>
        <brk id="344" max="21" man="1"/>
        <brk id="378" max="21" man="1"/>
      </rowBreaks>
      <pageMargins left="0.21" right="0" top="0.45" bottom="0" header="0.27" footer="0"/>
      <printOptions horizontalCentered="1"/>
      <pageSetup scale="62" fitToHeight="0" orientation="landscape" horizontalDpi="4294967292" r:id="rId1"/>
      <headerFooter alignWithMargins="0"/>
    </customSheetView>
    <customSheetView guid="{BE27EBD8-ED47-4D05-A191-2893A8781B62}" fitToPage="1" hiddenRows="1" hiddenColumns="1" topLeftCell="C1">
      <pageMargins left="0.21" right="0" top="0.45" bottom="0" header="0.27" footer="0"/>
      <printOptions horizontalCentered="1"/>
      <pageSetup scale="43" fitToHeight="0" orientation="landscape" r:id="rId2"/>
      <headerFooter alignWithMargins="0"/>
    </customSheetView>
  </customSheetViews>
  <mergeCells count="36">
    <mergeCell ref="S416:T416"/>
    <mergeCell ref="C10:C14"/>
    <mergeCell ref="L10:L14"/>
    <mergeCell ref="Q10:Q14"/>
    <mergeCell ref="T10:T14"/>
    <mergeCell ref="E10:E14"/>
    <mergeCell ref="S10:S14"/>
    <mergeCell ref="D10:D14"/>
    <mergeCell ref="G10:G14"/>
    <mergeCell ref="O10:O14"/>
    <mergeCell ref="J10:J14"/>
    <mergeCell ref="K10:K14"/>
    <mergeCell ref="F10:F14"/>
    <mergeCell ref="AA12:AG12"/>
    <mergeCell ref="W10:W14"/>
    <mergeCell ref="V10:V14"/>
    <mergeCell ref="Y4:Z4"/>
    <mergeCell ref="E7:Q7"/>
    <mergeCell ref="H10:H14"/>
    <mergeCell ref="I10:I14"/>
    <mergeCell ref="E1:Q1"/>
    <mergeCell ref="M10:M14"/>
    <mergeCell ref="N10:N14"/>
    <mergeCell ref="P10:P14"/>
    <mergeCell ref="C2:Z2"/>
    <mergeCell ref="E4:K4"/>
    <mergeCell ref="C4:D4"/>
    <mergeCell ref="C3:Z3"/>
    <mergeCell ref="Z10:Z14"/>
    <mergeCell ref="L4:T4"/>
    <mergeCell ref="X10:X14"/>
    <mergeCell ref="U10:U14"/>
    <mergeCell ref="Y10:Y14"/>
    <mergeCell ref="U4:V4"/>
    <mergeCell ref="C8:K8"/>
    <mergeCell ref="R10:R14"/>
  </mergeCells>
  <phoneticPr fontId="29" type="noConversion"/>
  <conditionalFormatting sqref="P15">
    <cfRule type="expression" dxfId="25" priority="13">
      <formula>$O15=""</formula>
    </cfRule>
    <cfRule type="expression" dxfId="24" priority="15">
      <formula>$O15=""</formula>
    </cfRule>
  </conditionalFormatting>
  <conditionalFormatting sqref="X15:Y414">
    <cfRule type="expression" dxfId="23" priority="10">
      <formula>$R15&lt;&gt;"none"</formula>
    </cfRule>
  </conditionalFormatting>
  <conditionalFormatting sqref="P16:P414">
    <cfRule type="expression" dxfId="22" priority="11">
      <formula>$O16=""</formula>
    </cfRule>
    <cfRule type="expression" dxfId="21" priority="12">
      <formula>$O16=""</formula>
    </cfRule>
  </conditionalFormatting>
  <conditionalFormatting sqref="W15">
    <cfRule type="cellIs" dxfId="20" priority="4" operator="lessThan">
      <formula>0.29</formula>
    </cfRule>
    <cfRule type="cellIs" dxfId="19" priority="7" operator="between">
      <formula>0.67</formula>
      <formula>0.99</formula>
    </cfRule>
    <cfRule type="cellIs" dxfId="18" priority="8" operator="between">
      <formula>1</formula>
      <formula>999999</formula>
    </cfRule>
  </conditionalFormatting>
  <conditionalFormatting sqref="W16:W414">
    <cfRule type="cellIs" dxfId="17" priority="1" operator="lessThan">
      <formula>0.29</formula>
    </cfRule>
    <cfRule type="cellIs" dxfId="16" priority="2" operator="between">
      <formula>0.67</formula>
      <formula>0.99</formula>
    </cfRule>
    <cfRule type="cellIs" dxfId="15" priority="3" operator="between">
      <formula>1</formula>
      <formula>999999</formula>
    </cfRule>
  </conditionalFormatting>
  <dataValidations xWindow="549" yWindow="389" count="12">
    <dataValidation type="whole" operator="greaterThanOrEqual" allowBlank="1" showInputMessage="1" showErrorMessage="1" error="numbers only in this field!" sqref="K15:L415 H15:I415 S15:V415 W415">
      <formula1>0</formula1>
    </dataValidation>
    <dataValidation type="list" allowBlank="1" showInputMessage="1" showErrorMessage="1" promptTitle="Unit Type" prompt="choose from the list" sqref="E15:E415 F415">
      <formula1>$AL$14:$AL$21</formula1>
    </dataValidation>
    <dataValidation type="date" allowBlank="1" showInputMessage="1" showErrorMessage="1" errorTitle="Date required" error="Enter date &quot;m/d/yy&quot; like &quot;1/1/2000&quot;" prompt="Enter date &quot;m/d/yyyy&quot; like &quot;1/1/2000.&quot;  If unit was vacant, leave blank." sqref="K417:K65538 G418:G65538 H417:H65538 I416:J65538 G415">
      <formula1>1</formula1>
      <formula2>73415</formula2>
    </dataValidation>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 sqref="J15:J415">
      <formula1>$U$4</formula1>
    </dataValidation>
    <dataValidation operator="greaterThanOrEqual" allowBlank="1" showInputMessage="1" showErrorMessage="1" error="numbers only in this field!" sqref="M15:P415 W15:W414"/>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_x000a__x000a_Cells in columns Y and Z should be left blank if the unit has Section 8, PRAC, HOPWA, S+C, VASH, LOSP or any other forms of rental assistance!_x000a_" sqref="X415">
      <formula1>$U$4</formula1>
    </dataValidation>
    <dataValidation type="whole" allowBlank="1" showInputMessage="1" showErrorMessage="1" error="numbers only in this field!" prompt="Cells in columns Y and Z should be left blank if the unit has Section 8, PRAC, HOPWA, S+C, VASH, LOSP or any other forms of rental assistance!_x000a_" sqref="Y415">
      <formula1>-5000</formula1>
      <formula2>5000</formula2>
    </dataValidation>
    <dataValidation type="list" allowBlank="1" showInputMessage="1" showErrorMessage="1" promptTitle="Accessible or Adaptable?" prompt="choose from the list" sqref="F15:F414">
      <formula1>$AM$14:$AM$18</formula1>
    </dataValidation>
    <dataValidation type="list" allowBlank="1" showInputMessage="1" showErrorMessage="1" promptTitle="Rental Assistance Type" prompt="choose from the list" sqref="Q415:R415">
      <formula1>$AK$14:$AK$25</formula1>
    </dataValidation>
    <dataValidation type="list" allowBlank="1" showInputMessage="1" showErrorMessage="1" promptTitle="Rental Assistance Type" prompt="choose from the list" sqref="R15:R414">
      <formula1>$AK$14:$AK$29</formula1>
    </dataValidation>
    <dataValidation type="list" allowBlank="1" showInputMessage="1" showErrorMessage="1" promptTitle="Yes or No" prompt="choose from the list" sqref="Q15:Q414">
      <formula1>$AI$14:$AI$15</formula1>
    </dataValidation>
    <dataValidation type="whole" allowBlank="1" showInputMessage="1" showErrorMessage="1" error="numbers only in this field!" prompt="Cells in columns X and Y should be left blank if the unit has Section 8, PRAC, HOPWA, S+C, VASH, LOSP or any other forms of rental assistance!_x000a_" sqref="Y15:Y414">
      <formula1>-5000</formula1>
      <formula2>5000</formula2>
    </dataValidation>
  </dataValidations>
  <printOptions horizontalCentered="1"/>
  <pageMargins left="0.21" right="0" top="0.45" bottom="0" header="0.27" footer="0"/>
  <pageSetup scale="46" fitToHeight="0" orientation="landscape" r:id="rId3"/>
  <headerFooter alignWithMargins="0"/>
  <drawing r:id="rId4"/>
  <extLst>
    <ext xmlns:x14="http://schemas.microsoft.com/office/spreadsheetml/2009/9/main" uri="{CCE6A557-97BC-4b89-ADB6-D9C93CAAB3DF}">
      <x14:dataValidations xmlns:xm="http://schemas.microsoft.com/office/excel/2006/main" xWindow="549" yWindow="389" count="2">
        <x14:dataValidation type="date" operator="lessThan" allowBlank="1" showInputMessage="1" showErrorMessage="1" errorTitle="Date required" error="Date entered must be before last day of reporting period." prompt="Enter date &quot;m/d/yyyy&quot; like &quot;1/1/2000.&quot;  If unit was vacant, leave blank.">
          <x14:formula1>
            <xm:f>' 1A.Prop&amp;Residents'!$G$13</xm:f>
          </x14:formula1>
          <xm:sqref>G15:G414</xm:sqref>
        </x14:dataValidation>
        <x14:dataValidation type="date" allowBlank="1" showInputMessage="1" showErrorMessage="1" errorTitle="Date required" error="Enter date &quot;m/d/yyyy&quot; like &quot;1/1/2000&quot;; date must also be within reporting period." prompt="Enter date &quot;m/d/yyyy&quot; like &quot;1/1/2000&quot;; date must also be within reporting period._x000a__x000a_Cells in columns X and Y should be left blank if the unit has Section 8, PRAC, HOPWA, S+C, VASH, LOSP or any other forms of rental assistance!_x000a_">
          <x14:formula1>
            <xm:f>' 1A.Prop&amp;Residents'!$G$12</xm:f>
          </x14:formula1>
          <x14:formula2>
            <xm:f>$U$4</xm:f>
          </x14:formula2>
          <xm:sqref>X15:X414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53"/>
  <sheetViews>
    <sheetView showGridLines="0" topLeftCell="C1" zoomScale="90" zoomScaleNormal="90" workbookViewId="0">
      <selection activeCell="H15" sqref="H15"/>
    </sheetView>
  </sheetViews>
  <sheetFormatPr defaultColWidth="0" defaultRowHeight="0" customHeight="1" zeroHeight="1"/>
  <cols>
    <col min="1" max="2" width="9.109375" hidden="1" customWidth="1"/>
    <col min="3" max="3" width="8.6640625" style="39" customWidth="1"/>
    <col min="4" max="4" width="10.33203125" style="148" customWidth="1"/>
    <col min="5" max="5" width="9.88671875" style="39" customWidth="1"/>
    <col min="6" max="7" width="13.33203125" customWidth="1"/>
    <col min="8" max="8" width="22" bestFit="1" customWidth="1"/>
    <col min="9" max="9" width="66.44140625" style="1457" bestFit="1" customWidth="1"/>
    <col min="10" max="10" width="34.109375" style="1457" customWidth="1"/>
    <col min="11" max="11" width="36.44140625" style="1457" customWidth="1"/>
    <col min="12" max="12" width="12.33203125" style="1457" customWidth="1"/>
    <col min="13" max="13" width="15.88671875" style="1468" customWidth="1"/>
    <col min="14" max="14" width="25.109375" bestFit="1" customWidth="1"/>
    <col min="15" max="15" width="3.44140625" hidden="1" customWidth="1"/>
    <col min="16" max="17" width="9.109375" hidden="1" customWidth="1"/>
    <col min="18" max="18" width="8.109375" hidden="1" customWidth="1"/>
    <col min="19" max="20" width="9.109375" hidden="1" customWidth="1"/>
    <col min="21" max="21" width="13" hidden="1" customWidth="1"/>
    <col min="22" max="22" width="17.44140625" hidden="1" customWidth="1"/>
    <col min="23" max="23" width="51.44140625" hidden="1" customWidth="1"/>
    <col min="24" max="24" width="28.33203125" hidden="1" customWidth="1"/>
    <col min="25" max="25" width="20.44140625" hidden="1" customWidth="1"/>
    <col min="26" max="27" width="30" hidden="1" customWidth="1"/>
    <col min="28" max="16384" width="9.109375" hidden="1"/>
  </cols>
  <sheetData>
    <row r="1" spans="1:26" ht="51.75" customHeight="1">
      <c r="C1" s="614"/>
      <c r="D1" s="615"/>
      <c r="E1" s="1226" t="s">
        <v>1101</v>
      </c>
      <c r="F1" s="1227"/>
      <c r="G1" s="1780"/>
      <c r="H1" s="1227"/>
      <c r="I1" s="1448"/>
      <c r="J1" s="1448"/>
      <c r="K1" s="1448"/>
      <c r="L1" s="1448"/>
      <c r="M1" s="1459"/>
      <c r="N1" s="1227"/>
      <c r="U1" s="232"/>
    </row>
    <row r="2" spans="1:26" ht="13.8">
      <c r="C2" s="2042"/>
      <c r="D2" s="2043"/>
      <c r="E2" s="2043"/>
      <c r="F2" s="2043"/>
      <c r="G2" s="2044"/>
      <c r="H2" s="2043"/>
      <c r="I2" s="2043"/>
      <c r="J2" s="2043"/>
      <c r="K2" s="2043"/>
      <c r="L2" s="2043"/>
      <c r="M2" s="2043"/>
      <c r="N2" s="2043"/>
    </row>
    <row r="3" spans="1:26" ht="27" customHeight="1">
      <c r="C3" s="731" t="str">
        <f>'Completeness Tracker'!$O$23&amp;" "&amp;'Completeness Tracker'!$O$33&amp;" - "&amp;'Completeness Tracker'!$O$24</f>
        <v xml:space="preserve">Annual Monitoring Report - Demographic Information - Reporting Year 2018 - </v>
      </c>
      <c r="D3" s="732"/>
      <c r="E3" s="732"/>
      <c r="F3" s="732"/>
      <c r="G3" s="1781"/>
      <c r="H3" s="732"/>
      <c r="I3" s="1449"/>
      <c r="J3" s="1449"/>
      <c r="K3" s="1449"/>
      <c r="L3" s="1449"/>
      <c r="M3" s="1460"/>
      <c r="N3" s="733"/>
    </row>
    <row r="4" spans="1:26" ht="27" customHeight="1" thickBot="1">
      <c r="C4" s="1247" t="str">
        <f>'Completeness Tracker'!$O$39</f>
        <v>Mayor's Office of Housing &amp; Community Development</v>
      </c>
      <c r="D4" s="1228"/>
      <c r="E4" s="1228"/>
      <c r="F4" s="1228"/>
      <c r="G4" s="1228"/>
      <c r="H4" s="1228"/>
      <c r="I4" s="1450"/>
      <c r="J4" s="1450"/>
      <c r="K4" s="1450"/>
      <c r="L4" s="1450"/>
      <c r="M4" s="1461"/>
      <c r="N4" s="736"/>
    </row>
    <row r="5" spans="1:26" s="2" customFormat="1" ht="31.5" customHeight="1" thickBot="1">
      <c r="A5"/>
      <c r="B5"/>
      <c r="C5" s="2098" t="s">
        <v>355</v>
      </c>
      <c r="D5" s="2049"/>
      <c r="E5" s="2099" t="str">
        <f>' 1A.Prop&amp;Residents'!$S$9</f>
        <v/>
      </c>
      <c r="F5" s="2100"/>
      <c r="G5" s="2100"/>
      <c r="H5" s="2101"/>
      <c r="I5" s="1451" t="s">
        <v>778</v>
      </c>
      <c r="J5" s="1458"/>
      <c r="K5" s="1458"/>
      <c r="L5" s="1726">
        <f>' 1A.Prop&amp;Residents'!$G$13</f>
        <v>0</v>
      </c>
      <c r="M5" s="1462" t="str">
        <f>'3A.Occpcy&amp;Rent'!$X$4</f>
        <v># Units:</v>
      </c>
      <c r="N5" s="1248">
        <f>'3A.Occpcy&amp;Rent'!$Y$4</f>
        <v>0</v>
      </c>
      <c r="P5" s="118"/>
      <c r="Q5" s="118"/>
      <c r="R5" s="118"/>
      <c r="S5" s="118"/>
      <c r="U5"/>
    </row>
    <row r="6" spans="1:26" s="2" customFormat="1" ht="19.5" customHeight="1">
      <c r="A6"/>
      <c r="B6"/>
      <c r="C6" s="331"/>
      <c r="D6" s="332"/>
      <c r="E6" s="330"/>
      <c r="F6" s="1225"/>
      <c r="G6" s="1225"/>
      <c r="H6" s="1225"/>
      <c r="I6" s="1452"/>
      <c r="J6" s="1452"/>
      <c r="K6" s="1452"/>
      <c r="L6" s="1452"/>
      <c r="M6" s="1463"/>
      <c r="N6" s="1249"/>
      <c r="U6"/>
    </row>
    <row r="7" spans="1:26" ht="98.4" customHeight="1">
      <c r="C7" s="1250"/>
      <c r="D7" s="612"/>
      <c r="E7" s="2094" t="s">
        <v>2616</v>
      </c>
      <c r="F7" s="2095"/>
      <c r="G7" s="2096"/>
      <c r="H7" s="2095"/>
      <c r="I7" s="2095"/>
      <c r="J7" s="2095"/>
      <c r="K7" s="2095"/>
      <c r="L7" s="2095"/>
      <c r="M7" s="2095"/>
      <c r="N7" s="2097"/>
      <c r="P7" s="133"/>
      <c r="Q7" s="133"/>
      <c r="R7" s="133"/>
      <c r="S7" s="133"/>
    </row>
    <row r="8" spans="1:26" ht="30.75" customHeight="1">
      <c r="C8" s="2071" t="s">
        <v>242</v>
      </c>
      <c r="D8" s="2072"/>
      <c r="E8" s="2072"/>
      <c r="F8" s="234"/>
      <c r="G8" s="1771"/>
      <c r="H8" s="234"/>
      <c r="I8" s="1453"/>
      <c r="J8" s="1453"/>
      <c r="K8" s="1453"/>
      <c r="L8" s="1453"/>
      <c r="M8" s="1464"/>
      <c r="N8" s="235"/>
      <c r="P8" s="109"/>
      <c r="Q8" s="109"/>
      <c r="R8" s="109"/>
      <c r="S8" s="109"/>
    </row>
    <row r="9" spans="1:26" s="27" customFormat="1" ht="17.25" customHeight="1">
      <c r="A9"/>
      <c r="B9"/>
      <c r="C9" s="467" t="s">
        <v>334</v>
      </c>
      <c r="D9" s="467" t="s">
        <v>335</v>
      </c>
      <c r="E9" s="467" t="s">
        <v>336</v>
      </c>
      <c r="F9" s="467" t="s">
        <v>337</v>
      </c>
      <c r="G9" s="469" t="s">
        <v>338</v>
      </c>
      <c r="H9" s="1454" t="s">
        <v>339</v>
      </c>
      <c r="I9" s="1454" t="s">
        <v>340</v>
      </c>
      <c r="J9" s="1454" t="s">
        <v>341</v>
      </c>
      <c r="K9" s="1454" t="s">
        <v>342</v>
      </c>
      <c r="L9" s="1465" t="s">
        <v>343</v>
      </c>
      <c r="M9" s="468" t="s">
        <v>344</v>
      </c>
      <c r="N9" s="468" t="s">
        <v>345</v>
      </c>
      <c r="P9" s="119"/>
      <c r="Q9" s="119"/>
      <c r="R9" s="119"/>
      <c r="S9" s="119"/>
    </row>
    <row r="10" spans="1:26" s="28" customFormat="1" ht="12.75" customHeight="1">
      <c r="A10"/>
      <c r="B10"/>
      <c r="C10" s="2104" t="s">
        <v>122</v>
      </c>
      <c r="D10" s="2106" t="s">
        <v>123</v>
      </c>
      <c r="E10" s="2108" t="s">
        <v>375</v>
      </c>
      <c r="F10" s="2111" t="s">
        <v>1428</v>
      </c>
      <c r="G10" s="2108" t="s">
        <v>2624</v>
      </c>
      <c r="H10" s="2111" t="s">
        <v>1506</v>
      </c>
      <c r="I10" s="2102" t="s">
        <v>1507</v>
      </c>
      <c r="J10" s="2102" t="s">
        <v>2455</v>
      </c>
      <c r="K10" s="2102" t="s">
        <v>2456</v>
      </c>
      <c r="L10" s="2102" t="s">
        <v>125</v>
      </c>
      <c r="M10" s="2113" t="s">
        <v>67</v>
      </c>
      <c r="N10" s="2115" t="s">
        <v>1603</v>
      </c>
    </row>
    <row r="11" spans="1:26" s="30" customFormat="1" ht="16.5" customHeight="1">
      <c r="A11"/>
      <c r="B11"/>
      <c r="C11" s="2104"/>
      <c r="D11" s="2106"/>
      <c r="E11" s="2108"/>
      <c r="F11" s="2111"/>
      <c r="G11" s="2108"/>
      <c r="H11" s="2111"/>
      <c r="I11" s="2102"/>
      <c r="J11" s="2102"/>
      <c r="K11" s="2102"/>
      <c r="L11" s="2102"/>
      <c r="M11" s="2113"/>
      <c r="N11" s="2115"/>
      <c r="O11" s="29"/>
      <c r="P11" s="1242" t="s">
        <v>129</v>
      </c>
      <c r="Q11" s="1243"/>
      <c r="R11" s="1243"/>
      <c r="S11" s="1243"/>
      <c r="T11" s="1242"/>
      <c r="U11" s="1243"/>
      <c r="V11" s="1243"/>
      <c r="W11" s="1243"/>
      <c r="X11" s="1243"/>
      <c r="Y11" s="1243"/>
      <c r="Z11" s="1243"/>
    </row>
    <row r="12" spans="1:26" s="30" customFormat="1" ht="13.2">
      <c r="A12"/>
      <c r="B12"/>
      <c r="C12" s="2104"/>
      <c r="D12" s="2106"/>
      <c r="E12" s="2108"/>
      <c r="F12" s="2111"/>
      <c r="G12" s="2108"/>
      <c r="H12" s="2111"/>
      <c r="I12" s="2102"/>
      <c r="J12" s="2102"/>
      <c r="K12" s="2102"/>
      <c r="L12" s="2102"/>
      <c r="M12" s="2113"/>
      <c r="N12" s="2115"/>
      <c r="O12" s="29"/>
      <c r="T12" s="32"/>
      <c r="U12" s="32"/>
      <c r="V12" s="1243"/>
      <c r="W12" s="1243"/>
      <c r="X12" s="1243"/>
      <c r="Y12" s="1243"/>
      <c r="Z12" s="1243"/>
    </row>
    <row r="13" spans="1:26" s="30" customFormat="1" ht="12.75" customHeight="1">
      <c r="A13"/>
      <c r="B13"/>
      <c r="C13" s="2104"/>
      <c r="D13" s="2106"/>
      <c r="E13" s="2108"/>
      <c r="F13" s="2111"/>
      <c r="G13" s="2108"/>
      <c r="H13" s="2111"/>
      <c r="I13" s="2102"/>
      <c r="J13" s="2102"/>
      <c r="K13" s="2102"/>
      <c r="L13" s="2102"/>
      <c r="M13" s="2113"/>
      <c r="N13" s="2115"/>
      <c r="O13" s="29"/>
      <c r="Q13" s="2093" t="s">
        <v>2621</v>
      </c>
      <c r="T13" s="1445" t="s">
        <v>130</v>
      </c>
      <c r="U13" s="1445" t="s">
        <v>131</v>
      </c>
      <c r="V13" s="1446" t="s">
        <v>1411</v>
      </c>
      <c r="W13" s="1446" t="s">
        <v>1412</v>
      </c>
      <c r="X13" s="1446" t="s">
        <v>2179</v>
      </c>
      <c r="Y13" s="1446" t="s">
        <v>2180</v>
      </c>
      <c r="Z13" s="1446" t="s">
        <v>2181</v>
      </c>
    </row>
    <row r="14" spans="1:26" s="124" customFormat="1" ht="68.25" customHeight="1">
      <c r="A14"/>
      <c r="B14"/>
      <c r="C14" s="2105"/>
      <c r="D14" s="2107"/>
      <c r="E14" s="2109"/>
      <c r="F14" s="2112"/>
      <c r="G14" s="2109"/>
      <c r="H14" s="2112"/>
      <c r="I14" s="2110"/>
      <c r="J14" s="2103"/>
      <c r="K14" s="2103"/>
      <c r="L14" s="2110"/>
      <c r="M14" s="2114"/>
      <c r="N14" s="2115"/>
      <c r="O14" s="123"/>
      <c r="P14" s="124" t="s">
        <v>2202</v>
      </c>
      <c r="Q14" s="2093"/>
      <c r="R14" s="124" t="s">
        <v>1598</v>
      </c>
      <c r="T14" s="127" t="s">
        <v>134</v>
      </c>
      <c r="U14" s="127" t="s">
        <v>1512</v>
      </c>
      <c r="V14" s="1244" t="s">
        <v>1416</v>
      </c>
      <c r="W14" s="1245" t="s">
        <v>1418</v>
      </c>
      <c r="X14" s="1246" t="s">
        <v>2184</v>
      </c>
      <c r="Y14" s="1246" t="s">
        <v>2184</v>
      </c>
      <c r="Z14" s="1246" t="s">
        <v>2194</v>
      </c>
    </row>
    <row r="15" spans="1:26" ht="22.2" customHeight="1">
      <c r="C15" s="120">
        <v>1</v>
      </c>
      <c r="D15" s="1782" t="str">
        <f>IF('3A.Occpcy&amp;Rent'!$D15="","",VLOOKUP($C15,'3A.Occpcy&amp;Rent'!$C$15:$L$414,2,FALSE))</f>
        <v/>
      </c>
      <c r="E15" s="1783" t="str">
        <f>IF('3A.Occpcy&amp;Rent'!$D15="","",VLOOKUP($C15,'3A.Occpcy&amp;Rent'!$C$15:$L$414,3,FALSE))</f>
        <v/>
      </c>
      <c r="F15" s="1784" t="str">
        <f>IF('3A.Occpcy&amp;Rent'!$D15="","",VLOOKUP($C15,'3A.Occpcy&amp;Rent'!$C$15:$L$414,10,FALSE))</f>
        <v/>
      </c>
      <c r="G15" s="1785" t="str">
        <f>IF('3A.Occpcy&amp;Rent'!$D15="","",VLOOKUP($C15,'3A.Occpcy&amp;Rent'!$C$15:$L$414,5,FALSE))</f>
        <v/>
      </c>
      <c r="H15" s="1727"/>
      <c r="I15" s="1727"/>
      <c r="J15" s="1727"/>
      <c r="K15" s="1727"/>
      <c r="L15" s="1727"/>
      <c r="M15" s="1469"/>
      <c r="N15" s="1728"/>
      <c r="O15" s="33"/>
      <c r="P15" s="1597">
        <f t="shared" ref="P15:P78" si="0">IF(AND(D15&lt;&gt;0,H15&lt;&gt;0,I15&lt;&gt;0),1,IF(AND(D15="",H15="",I15=""),1,0))</f>
        <v>1</v>
      </c>
      <c r="Q15" s="1597">
        <f>IF(AND(D15&lt;&gt;0,J15&lt;&gt;0,K15&lt;&gt;0),1,IF(AND(D15="",J15="",K15=""),1,0))</f>
        <v>1</v>
      </c>
      <c r="R15">
        <f t="shared" ref="R15:R78" si="1">IF(H15=$V$14,$V$14,IF(OR(AND(H15=$V$15,I15=$W$24),AND(H15=$V$16,I15=$W$24)),$W$24,IF(OR(AND(H15=$V$15,I15&lt;&gt;$W$24),AND(H15=$V$16,I15&lt;&gt;$W$24)),I15,0)))</f>
        <v>0</v>
      </c>
      <c r="T15" s="121" t="s">
        <v>137</v>
      </c>
      <c r="U15" s="1399" t="s">
        <v>1513</v>
      </c>
      <c r="V15" s="1244" t="s">
        <v>1417</v>
      </c>
      <c r="W15" s="1242" t="s">
        <v>1419</v>
      </c>
      <c r="X15" s="1242" t="s">
        <v>2185</v>
      </c>
      <c r="Y15" s="1242" t="s">
        <v>2185</v>
      </c>
      <c r="Z15" s="1242" t="s">
        <v>2195</v>
      </c>
    </row>
    <row r="16" spans="1:26" ht="24.75" customHeight="1">
      <c r="C16" s="34">
        <v>2</v>
      </c>
      <c r="D16" s="1782" t="str">
        <f>IF('3A.Occpcy&amp;Rent'!$D16="","",VLOOKUP($C16,'3A.Occpcy&amp;Rent'!$C$15:$L$414,2,FALSE))</f>
        <v/>
      </c>
      <c r="E16" s="1783" t="str">
        <f>IF('3A.Occpcy&amp;Rent'!$D16="","",VLOOKUP($C16,'3A.Occpcy&amp;Rent'!$C$15:$L$414,3,FALSE))</f>
        <v/>
      </c>
      <c r="F16" s="1784" t="str">
        <f>IF('3A.Occpcy&amp;Rent'!$D16="","",VLOOKUP($C16,'3A.Occpcy&amp;Rent'!$C$15:$L$414,10,FALSE))</f>
        <v/>
      </c>
      <c r="G16" s="1785" t="str">
        <f>IF('3A.Occpcy&amp;Rent'!$D16="","",VLOOKUP($C16,'3A.Occpcy&amp;Rent'!$C$15:$L$414,5,FALSE))</f>
        <v/>
      </c>
      <c r="H16" s="1727"/>
      <c r="I16" s="1727"/>
      <c r="J16" s="1727"/>
      <c r="K16" s="1727"/>
      <c r="L16" s="1727"/>
      <c r="M16" s="1469"/>
      <c r="N16" s="1729"/>
      <c r="O16" s="33"/>
      <c r="P16" s="1597">
        <f t="shared" si="0"/>
        <v>1</v>
      </c>
      <c r="Q16" s="1597">
        <f t="shared" ref="Q16:Q79" si="2">IF(AND(D16&lt;&gt;0,J16&lt;&gt;0,K16&lt;&gt;0),1,IF(AND(D16="",J16="",K16=""),1,0))</f>
        <v>1</v>
      </c>
      <c r="R16">
        <f t="shared" si="1"/>
        <v>0</v>
      </c>
      <c r="T16" s="37"/>
      <c r="U16" s="1318" t="s">
        <v>1514</v>
      </c>
      <c r="V16" s="1242" t="s">
        <v>1596</v>
      </c>
      <c r="W16" s="1242" t="s">
        <v>1420</v>
      </c>
      <c r="X16" s="1242" t="s">
        <v>2186</v>
      </c>
      <c r="Y16" s="1242" t="s">
        <v>2192</v>
      </c>
      <c r="Z16" s="1242" t="s">
        <v>2196</v>
      </c>
    </row>
    <row r="17" spans="3:26" ht="20.100000000000001" customHeight="1">
      <c r="C17" s="34">
        <v>3</v>
      </c>
      <c r="D17" s="1782" t="str">
        <f>IF('3A.Occpcy&amp;Rent'!$D17="","",VLOOKUP($C17,'3A.Occpcy&amp;Rent'!$C$15:$L$414,2,FALSE))</f>
        <v/>
      </c>
      <c r="E17" s="1783" t="str">
        <f>IF('3A.Occpcy&amp;Rent'!$D17="","",VLOOKUP($C17,'3A.Occpcy&amp;Rent'!$C$15:$L$414,3,FALSE))</f>
        <v/>
      </c>
      <c r="F17" s="1784" t="str">
        <f>IF('3A.Occpcy&amp;Rent'!$D17="","",VLOOKUP($C17,'3A.Occpcy&amp;Rent'!$C$15:$L$414,10,FALSE))</f>
        <v/>
      </c>
      <c r="G17" s="1785" t="str">
        <f>IF('3A.Occpcy&amp;Rent'!$D17="","",VLOOKUP($C17,'3A.Occpcy&amp;Rent'!$C$15:$L$414,5,FALSE))</f>
        <v/>
      </c>
      <c r="H17" s="1727"/>
      <c r="I17" s="1727"/>
      <c r="J17" s="1727"/>
      <c r="K17" s="1727"/>
      <c r="L17" s="1727"/>
      <c r="M17" s="1469"/>
      <c r="N17" s="1729"/>
      <c r="O17" s="33"/>
      <c r="P17" s="1597">
        <f t="shared" si="0"/>
        <v>1</v>
      </c>
      <c r="Q17" s="1597">
        <f t="shared" si="2"/>
        <v>1</v>
      </c>
      <c r="R17">
        <f t="shared" si="1"/>
        <v>0</v>
      </c>
      <c r="T17" s="37"/>
      <c r="U17" s="1318" t="s">
        <v>1600</v>
      </c>
      <c r="V17" s="1242"/>
      <c r="W17" s="1242" t="s">
        <v>1421</v>
      </c>
      <c r="X17" s="1242" t="s">
        <v>2187</v>
      </c>
      <c r="Y17" s="1242" t="s">
        <v>2193</v>
      </c>
      <c r="Z17" s="1242" t="s">
        <v>2197</v>
      </c>
    </row>
    <row r="18" spans="3:26" ht="20.100000000000001" customHeight="1">
      <c r="C18" s="34">
        <v>4</v>
      </c>
      <c r="D18" s="1782" t="str">
        <f>IF('3A.Occpcy&amp;Rent'!$D18="","",VLOOKUP($C18,'3A.Occpcy&amp;Rent'!$C$15:$L$414,2,FALSE))</f>
        <v/>
      </c>
      <c r="E18" s="1783" t="str">
        <f>IF('3A.Occpcy&amp;Rent'!$D18="","",VLOOKUP($C18,'3A.Occpcy&amp;Rent'!$C$15:$L$414,3,FALSE))</f>
        <v/>
      </c>
      <c r="F18" s="1784" t="str">
        <f>IF('3A.Occpcy&amp;Rent'!$D18="","",VLOOKUP($C18,'3A.Occpcy&amp;Rent'!$C$15:$L$414,10,FALSE))</f>
        <v/>
      </c>
      <c r="G18" s="1785" t="str">
        <f>IF('3A.Occpcy&amp;Rent'!$D18="","",VLOOKUP($C18,'3A.Occpcy&amp;Rent'!$C$15:$L$414,5,FALSE))</f>
        <v/>
      </c>
      <c r="H18" s="1727"/>
      <c r="I18" s="1727"/>
      <c r="J18" s="1727"/>
      <c r="K18" s="1727"/>
      <c r="L18" s="1727"/>
      <c r="M18" s="1469"/>
      <c r="N18" s="1729"/>
      <c r="O18" s="33"/>
      <c r="P18" s="1597">
        <f t="shared" si="0"/>
        <v>1</v>
      </c>
      <c r="Q18" s="1597">
        <f t="shared" si="2"/>
        <v>1</v>
      </c>
      <c r="R18">
        <f t="shared" si="1"/>
        <v>0</v>
      </c>
      <c r="T18" s="38"/>
      <c r="U18" s="38" t="s">
        <v>195</v>
      </c>
      <c r="V18" s="1242"/>
      <c r="W18" s="1242" t="s">
        <v>1422</v>
      </c>
      <c r="X18" s="1242" t="s">
        <v>2188</v>
      </c>
      <c r="Y18" s="1242" t="s">
        <v>2191</v>
      </c>
      <c r="Z18" s="1242" t="s">
        <v>2198</v>
      </c>
    </row>
    <row r="19" spans="3:26" ht="20.100000000000001" customHeight="1">
      <c r="C19" s="34">
        <v>5</v>
      </c>
      <c r="D19" s="1782" t="str">
        <f>IF('3A.Occpcy&amp;Rent'!$D19="","",VLOOKUP($C19,'3A.Occpcy&amp;Rent'!$C$15:$L$414,2,FALSE))</f>
        <v/>
      </c>
      <c r="E19" s="1783" t="str">
        <f>IF('3A.Occpcy&amp;Rent'!$D19="","",VLOOKUP($C19,'3A.Occpcy&amp;Rent'!$C$15:$L$414,3,FALSE))</f>
        <v/>
      </c>
      <c r="F19" s="1784" t="str">
        <f>IF('3A.Occpcy&amp;Rent'!$D19="","",VLOOKUP($C19,'3A.Occpcy&amp;Rent'!$C$15:$L$414,10,FALSE))</f>
        <v/>
      </c>
      <c r="G19" s="1785" t="str">
        <f>IF('3A.Occpcy&amp;Rent'!$D19="","",VLOOKUP($C19,'3A.Occpcy&amp;Rent'!$C$15:$L$414,5,FALSE))</f>
        <v/>
      </c>
      <c r="H19" s="1727"/>
      <c r="I19" s="1727"/>
      <c r="J19" s="1727"/>
      <c r="K19" s="1727"/>
      <c r="L19" s="1727"/>
      <c r="M19" s="1469"/>
      <c r="N19" s="1729"/>
      <c r="O19" s="33"/>
      <c r="P19" s="1597">
        <f t="shared" si="0"/>
        <v>1</v>
      </c>
      <c r="Q19" s="1597">
        <f t="shared" si="2"/>
        <v>1</v>
      </c>
      <c r="R19">
        <f t="shared" si="1"/>
        <v>0</v>
      </c>
      <c r="T19" s="38"/>
      <c r="U19" s="38" t="s">
        <v>1601</v>
      </c>
      <c r="V19" s="1242"/>
      <c r="W19" s="1242" t="s">
        <v>1423</v>
      </c>
      <c r="X19" s="1242" t="s">
        <v>2189</v>
      </c>
      <c r="Y19" s="1242"/>
      <c r="Z19" s="1242" t="s">
        <v>2192</v>
      </c>
    </row>
    <row r="20" spans="3:26" ht="20.100000000000001" customHeight="1">
      <c r="C20" s="34">
        <v>6</v>
      </c>
      <c r="D20" s="1782" t="str">
        <f>IF('3A.Occpcy&amp;Rent'!$D20="","",VLOOKUP($C20,'3A.Occpcy&amp;Rent'!$C$15:$L$414,2,FALSE))</f>
        <v/>
      </c>
      <c r="E20" s="1783" t="str">
        <f>IF('3A.Occpcy&amp;Rent'!$D20="","",VLOOKUP($C20,'3A.Occpcy&amp;Rent'!$C$15:$L$414,3,FALSE))</f>
        <v/>
      </c>
      <c r="F20" s="1784" t="str">
        <f>IF('3A.Occpcy&amp;Rent'!$D20="","",VLOOKUP($C20,'3A.Occpcy&amp;Rent'!$C$15:$L$414,10,FALSE))</f>
        <v/>
      </c>
      <c r="G20" s="1785" t="str">
        <f>IF('3A.Occpcy&amp;Rent'!$D20="","",VLOOKUP($C20,'3A.Occpcy&amp;Rent'!$C$15:$L$414,5,FALSE))</f>
        <v/>
      </c>
      <c r="H20" s="1727"/>
      <c r="I20" s="1727"/>
      <c r="J20" s="1727"/>
      <c r="K20" s="1727"/>
      <c r="L20" s="1727"/>
      <c r="M20" s="1469"/>
      <c r="N20" s="1729"/>
      <c r="O20" s="33"/>
      <c r="P20" s="1597">
        <f t="shared" si="0"/>
        <v>1</v>
      </c>
      <c r="Q20" s="1597">
        <f t="shared" si="2"/>
        <v>1</v>
      </c>
      <c r="R20">
        <f t="shared" si="1"/>
        <v>0</v>
      </c>
      <c r="T20" s="38"/>
      <c r="U20" s="38" t="s">
        <v>1465</v>
      </c>
      <c r="V20" s="1242"/>
      <c r="W20" s="1242" t="s">
        <v>1424</v>
      </c>
      <c r="X20" s="1242" t="s">
        <v>2190</v>
      </c>
      <c r="Y20" s="1242"/>
      <c r="Z20" s="1242" t="s">
        <v>2193</v>
      </c>
    </row>
    <row r="21" spans="3:26" ht="20.100000000000001" customHeight="1">
      <c r="C21" s="34">
        <v>7</v>
      </c>
      <c r="D21" s="1782" t="str">
        <f>IF('3A.Occpcy&amp;Rent'!$D21="","",VLOOKUP($C21,'3A.Occpcy&amp;Rent'!$C$15:$L$414,2,FALSE))</f>
        <v/>
      </c>
      <c r="E21" s="1783" t="str">
        <f>IF('3A.Occpcy&amp;Rent'!$D21="","",VLOOKUP($C21,'3A.Occpcy&amp;Rent'!$C$15:$L$414,3,FALSE))</f>
        <v/>
      </c>
      <c r="F21" s="1784" t="str">
        <f>IF('3A.Occpcy&amp;Rent'!$D21="","",VLOOKUP($C21,'3A.Occpcy&amp;Rent'!$C$15:$L$414,10,FALSE))</f>
        <v/>
      </c>
      <c r="G21" s="1785" t="str">
        <f>IF('3A.Occpcy&amp;Rent'!$D21="","",VLOOKUP($C21,'3A.Occpcy&amp;Rent'!$C$15:$L$414,5,FALSE))</f>
        <v/>
      </c>
      <c r="H21" s="1727"/>
      <c r="I21" s="1727"/>
      <c r="J21" s="1727"/>
      <c r="K21" s="1727"/>
      <c r="L21" s="1727"/>
      <c r="M21" s="1469"/>
      <c r="N21" s="1729"/>
      <c r="O21" s="33"/>
      <c r="P21" s="1597">
        <f t="shared" si="0"/>
        <v>1</v>
      </c>
      <c r="Q21" s="1597">
        <f t="shared" si="2"/>
        <v>1</v>
      </c>
      <c r="R21">
        <f t="shared" si="1"/>
        <v>0</v>
      </c>
      <c r="V21" s="1242"/>
      <c r="W21" s="1242" t="s">
        <v>1425</v>
      </c>
      <c r="X21" s="1242" t="s">
        <v>2191</v>
      </c>
      <c r="Y21" s="1242"/>
      <c r="Z21" s="1242" t="s">
        <v>2191</v>
      </c>
    </row>
    <row r="22" spans="3:26" ht="20.100000000000001" customHeight="1">
      <c r="C22" s="34">
        <v>8</v>
      </c>
      <c r="D22" s="1782" t="str">
        <f>IF('3A.Occpcy&amp;Rent'!$D22="","",VLOOKUP($C22,'3A.Occpcy&amp;Rent'!$C$15:$L$414,2,FALSE))</f>
        <v/>
      </c>
      <c r="E22" s="1783" t="str">
        <f>IF('3A.Occpcy&amp;Rent'!$D22="","",VLOOKUP($C22,'3A.Occpcy&amp;Rent'!$C$15:$L$414,3,FALSE))</f>
        <v/>
      </c>
      <c r="F22" s="1784" t="str">
        <f>IF('3A.Occpcy&amp;Rent'!$D22="","",VLOOKUP($C22,'3A.Occpcy&amp;Rent'!$C$15:$L$414,10,FALSE))</f>
        <v/>
      </c>
      <c r="G22" s="1785" t="str">
        <f>IF('3A.Occpcy&amp;Rent'!$D22="","",VLOOKUP($C22,'3A.Occpcy&amp;Rent'!$C$15:$L$414,5,FALSE))</f>
        <v/>
      </c>
      <c r="H22" s="1727"/>
      <c r="I22" s="1727"/>
      <c r="J22" s="1727"/>
      <c r="K22" s="1727"/>
      <c r="L22" s="1727"/>
      <c r="M22" s="1469"/>
      <c r="N22" s="1729"/>
      <c r="O22" s="33"/>
      <c r="P22" s="1597">
        <f t="shared" si="0"/>
        <v>1</v>
      </c>
      <c r="Q22" s="1597">
        <f t="shared" si="2"/>
        <v>1</v>
      </c>
      <c r="R22">
        <f t="shared" si="1"/>
        <v>0</v>
      </c>
      <c r="V22" s="1242"/>
      <c r="W22" s="1242" t="s">
        <v>1426</v>
      </c>
      <c r="X22" s="1242"/>
      <c r="Y22" s="1242"/>
      <c r="Z22" s="410"/>
    </row>
    <row r="23" spans="3:26" ht="20.100000000000001" customHeight="1">
      <c r="C23" s="34">
        <v>9</v>
      </c>
      <c r="D23" s="1782" t="str">
        <f>IF('3A.Occpcy&amp;Rent'!$D23="","",VLOOKUP($C23,'3A.Occpcy&amp;Rent'!$C$15:$L$414,2,FALSE))</f>
        <v/>
      </c>
      <c r="E23" s="1783" t="str">
        <f>IF('3A.Occpcy&amp;Rent'!$D23="","",VLOOKUP($C23,'3A.Occpcy&amp;Rent'!$C$15:$L$414,3,FALSE))</f>
        <v/>
      </c>
      <c r="F23" s="1784" t="str">
        <f>IF('3A.Occpcy&amp;Rent'!$D23="","",VLOOKUP($C23,'3A.Occpcy&amp;Rent'!$C$15:$L$414,10,FALSE))</f>
        <v/>
      </c>
      <c r="G23" s="1785" t="str">
        <f>IF('3A.Occpcy&amp;Rent'!$D23="","",VLOOKUP($C23,'3A.Occpcy&amp;Rent'!$C$15:$L$414,5,FALSE))</f>
        <v/>
      </c>
      <c r="H23" s="1727"/>
      <c r="I23" s="1727"/>
      <c r="J23" s="1727"/>
      <c r="K23" s="1727"/>
      <c r="L23" s="1727"/>
      <c r="M23" s="1469"/>
      <c r="N23" s="1729"/>
      <c r="O23" s="33"/>
      <c r="P23" s="1597">
        <f t="shared" si="0"/>
        <v>1</v>
      </c>
      <c r="Q23" s="1597">
        <f t="shared" si="2"/>
        <v>1</v>
      </c>
      <c r="R23">
        <f t="shared" si="1"/>
        <v>0</v>
      </c>
      <c r="V23" s="1242"/>
      <c r="W23" s="1242" t="s">
        <v>1427</v>
      </c>
      <c r="X23" s="1242"/>
      <c r="Y23" s="1242"/>
      <c r="Z23" s="410"/>
    </row>
    <row r="24" spans="3:26" ht="20.100000000000001" customHeight="1">
      <c r="C24" s="34">
        <v>10</v>
      </c>
      <c r="D24" s="1782" t="str">
        <f>IF('3A.Occpcy&amp;Rent'!$D24="","",VLOOKUP($C24,'3A.Occpcy&amp;Rent'!$C$15:$L$414,2,FALSE))</f>
        <v/>
      </c>
      <c r="E24" s="1783" t="str">
        <f>IF('3A.Occpcy&amp;Rent'!$D24="","",VLOOKUP($C24,'3A.Occpcy&amp;Rent'!$C$15:$L$414,3,FALSE))</f>
        <v/>
      </c>
      <c r="F24" s="1784" t="str">
        <f>IF('3A.Occpcy&amp;Rent'!$D24="","",VLOOKUP($C24,'3A.Occpcy&amp;Rent'!$C$15:$L$414,10,FALSE))</f>
        <v/>
      </c>
      <c r="G24" s="1785" t="str">
        <f>IF('3A.Occpcy&amp;Rent'!$D24="","",VLOOKUP($C24,'3A.Occpcy&amp;Rent'!$C$15:$L$414,5,FALSE))</f>
        <v/>
      </c>
      <c r="H24" s="1727"/>
      <c r="I24" s="1727"/>
      <c r="J24" s="1727"/>
      <c r="K24" s="1727"/>
      <c r="L24" s="1727"/>
      <c r="M24" s="1469"/>
      <c r="N24" s="1729"/>
      <c r="O24" s="33"/>
      <c r="P24" s="1597">
        <f t="shared" si="0"/>
        <v>1</v>
      </c>
      <c r="Q24" s="1597">
        <f t="shared" si="2"/>
        <v>1</v>
      </c>
      <c r="R24">
        <f t="shared" si="1"/>
        <v>0</v>
      </c>
      <c r="V24" s="1242"/>
      <c r="W24" s="1242" t="s">
        <v>1596</v>
      </c>
      <c r="X24" s="1242"/>
      <c r="Y24" s="1242"/>
      <c r="Z24" s="410"/>
    </row>
    <row r="25" spans="3:26" ht="20.100000000000001" customHeight="1">
      <c r="C25" s="34">
        <v>11</v>
      </c>
      <c r="D25" s="1782" t="str">
        <f>IF('3A.Occpcy&amp;Rent'!$D25="","",VLOOKUP($C25,'3A.Occpcy&amp;Rent'!$C$15:$L$414,2,FALSE))</f>
        <v/>
      </c>
      <c r="E25" s="1783" t="str">
        <f>IF('3A.Occpcy&amp;Rent'!$D25="","",VLOOKUP($C25,'3A.Occpcy&amp;Rent'!$C$15:$L$414,3,FALSE))</f>
        <v/>
      </c>
      <c r="F25" s="1784" t="str">
        <f>IF('3A.Occpcy&amp;Rent'!$D25="","",VLOOKUP($C25,'3A.Occpcy&amp;Rent'!$C$15:$L$414,10,FALSE))</f>
        <v/>
      </c>
      <c r="G25" s="1785" t="str">
        <f>IF('3A.Occpcy&amp;Rent'!$D25="","",VLOOKUP($C25,'3A.Occpcy&amp;Rent'!$C$15:$L$414,5,FALSE))</f>
        <v/>
      </c>
      <c r="H25" s="1727"/>
      <c r="I25" s="1727"/>
      <c r="J25" s="1727"/>
      <c r="K25" s="1727"/>
      <c r="L25" s="1727"/>
      <c r="M25" s="1469"/>
      <c r="N25" s="1729"/>
      <c r="O25" s="33"/>
      <c r="P25" s="1597">
        <f t="shared" si="0"/>
        <v>1</v>
      </c>
      <c r="Q25" s="1597">
        <f t="shared" si="2"/>
        <v>1</v>
      </c>
      <c r="R25">
        <f t="shared" si="1"/>
        <v>0</v>
      </c>
      <c r="V25" s="1"/>
      <c r="W25" s="1"/>
      <c r="X25" s="1"/>
      <c r="Y25" s="1"/>
    </row>
    <row r="26" spans="3:26" ht="20.100000000000001" customHeight="1">
      <c r="C26" s="34">
        <v>12</v>
      </c>
      <c r="D26" s="1782" t="str">
        <f>IF('3A.Occpcy&amp;Rent'!$D26="","",VLOOKUP($C26,'3A.Occpcy&amp;Rent'!$C$15:$L$414,2,FALSE))</f>
        <v/>
      </c>
      <c r="E26" s="1783" t="str">
        <f>IF('3A.Occpcy&amp;Rent'!$D26="","",VLOOKUP($C26,'3A.Occpcy&amp;Rent'!$C$15:$L$414,3,FALSE))</f>
        <v/>
      </c>
      <c r="F26" s="1784" t="str">
        <f>IF('3A.Occpcy&amp;Rent'!$D26="","",VLOOKUP($C26,'3A.Occpcy&amp;Rent'!$C$15:$L$414,10,FALSE))</f>
        <v/>
      </c>
      <c r="G26" s="1785" t="str">
        <f>IF('3A.Occpcy&amp;Rent'!$D26="","",VLOOKUP($C26,'3A.Occpcy&amp;Rent'!$C$15:$L$414,5,FALSE))</f>
        <v/>
      </c>
      <c r="H26" s="1727"/>
      <c r="I26" s="1727"/>
      <c r="J26" s="1727"/>
      <c r="K26" s="1727"/>
      <c r="L26" s="1727"/>
      <c r="M26" s="1469"/>
      <c r="N26" s="1729"/>
      <c r="O26" s="33"/>
      <c r="P26" s="1597">
        <f t="shared" si="0"/>
        <v>1</v>
      </c>
      <c r="Q26" s="1597">
        <f t="shared" si="2"/>
        <v>1</v>
      </c>
      <c r="R26">
        <f t="shared" si="1"/>
        <v>0</v>
      </c>
      <c r="V26" s="1"/>
      <c r="W26" s="1"/>
      <c r="X26" s="1"/>
      <c r="Y26" s="1"/>
    </row>
    <row r="27" spans="3:26" ht="20.100000000000001" customHeight="1">
      <c r="C27" s="34">
        <v>13</v>
      </c>
      <c r="D27" s="1782" t="str">
        <f>IF('3A.Occpcy&amp;Rent'!$D27="","",VLOOKUP($C27,'3A.Occpcy&amp;Rent'!$C$15:$L$414,2,FALSE))</f>
        <v/>
      </c>
      <c r="E27" s="1783" t="str">
        <f>IF('3A.Occpcy&amp;Rent'!$D27="","",VLOOKUP($C27,'3A.Occpcy&amp;Rent'!$C$15:$L$414,3,FALSE))</f>
        <v/>
      </c>
      <c r="F27" s="1784" t="str">
        <f>IF('3A.Occpcy&amp;Rent'!$D27="","",VLOOKUP($C27,'3A.Occpcy&amp;Rent'!$C$15:$L$414,10,FALSE))</f>
        <v/>
      </c>
      <c r="G27" s="1785" t="str">
        <f>IF('3A.Occpcy&amp;Rent'!$D27="","",VLOOKUP($C27,'3A.Occpcy&amp;Rent'!$C$15:$L$414,5,FALSE))</f>
        <v/>
      </c>
      <c r="H27" s="1727"/>
      <c r="I27" s="1727"/>
      <c r="J27" s="1727"/>
      <c r="K27" s="1727"/>
      <c r="L27" s="1727"/>
      <c r="M27" s="1469"/>
      <c r="N27" s="1729"/>
      <c r="O27" s="33"/>
      <c r="P27" s="1597">
        <f t="shared" si="0"/>
        <v>1</v>
      </c>
      <c r="Q27" s="1597">
        <f t="shared" si="2"/>
        <v>1</v>
      </c>
      <c r="R27">
        <f t="shared" si="1"/>
        <v>0</v>
      </c>
      <c r="V27" s="1"/>
      <c r="W27" s="1"/>
      <c r="X27" s="1"/>
      <c r="Y27" s="1"/>
    </row>
    <row r="28" spans="3:26" ht="20.100000000000001" customHeight="1">
      <c r="C28" s="34">
        <v>14</v>
      </c>
      <c r="D28" s="1782" t="str">
        <f>IF('3A.Occpcy&amp;Rent'!$D28="","",VLOOKUP($C28,'3A.Occpcy&amp;Rent'!$C$15:$L$414,2,FALSE))</f>
        <v/>
      </c>
      <c r="E28" s="1783" t="str">
        <f>IF('3A.Occpcy&amp;Rent'!$D28="","",VLOOKUP($C28,'3A.Occpcy&amp;Rent'!$C$15:$L$414,3,FALSE))</f>
        <v/>
      </c>
      <c r="F28" s="1784" t="str">
        <f>IF('3A.Occpcy&amp;Rent'!$D28="","",VLOOKUP($C28,'3A.Occpcy&amp;Rent'!$C$15:$L$414,10,FALSE))</f>
        <v/>
      </c>
      <c r="G28" s="1785" t="str">
        <f>IF('3A.Occpcy&amp;Rent'!$D28="","",VLOOKUP($C28,'3A.Occpcy&amp;Rent'!$C$15:$L$414,5,FALSE))</f>
        <v/>
      </c>
      <c r="H28" s="1727"/>
      <c r="I28" s="1727"/>
      <c r="J28" s="1727"/>
      <c r="K28" s="1727"/>
      <c r="L28" s="1727"/>
      <c r="M28" s="1469"/>
      <c r="N28" s="1729"/>
      <c r="P28" s="1597">
        <f t="shared" si="0"/>
        <v>1</v>
      </c>
      <c r="Q28" s="1597">
        <f t="shared" si="2"/>
        <v>1</v>
      </c>
      <c r="R28">
        <f t="shared" si="1"/>
        <v>0</v>
      </c>
      <c r="V28" s="1"/>
      <c r="W28" s="1"/>
      <c r="X28" s="1"/>
      <c r="Y28" s="1"/>
    </row>
    <row r="29" spans="3:26" ht="20.100000000000001" customHeight="1">
      <c r="C29" s="34">
        <v>15</v>
      </c>
      <c r="D29" s="1782" t="str">
        <f>IF('3A.Occpcy&amp;Rent'!$D29="","",VLOOKUP($C29,'3A.Occpcy&amp;Rent'!$C$15:$L$414,2,FALSE))</f>
        <v/>
      </c>
      <c r="E29" s="1783" t="str">
        <f>IF('3A.Occpcy&amp;Rent'!$D29="","",VLOOKUP($C29,'3A.Occpcy&amp;Rent'!$C$15:$L$414,3,FALSE))</f>
        <v/>
      </c>
      <c r="F29" s="1784" t="str">
        <f>IF('3A.Occpcy&amp;Rent'!$D29="","",VLOOKUP($C29,'3A.Occpcy&amp;Rent'!$C$15:$L$414,10,FALSE))</f>
        <v/>
      </c>
      <c r="G29" s="1785" t="str">
        <f>IF('3A.Occpcy&amp;Rent'!$D29="","",VLOOKUP($C29,'3A.Occpcy&amp;Rent'!$C$15:$L$414,5,FALSE))</f>
        <v/>
      </c>
      <c r="H29" s="1727"/>
      <c r="I29" s="1727"/>
      <c r="J29" s="1727"/>
      <c r="K29" s="1727"/>
      <c r="L29" s="1727"/>
      <c r="M29" s="1469"/>
      <c r="N29" s="1729"/>
      <c r="P29" s="1597">
        <f t="shared" si="0"/>
        <v>1</v>
      </c>
      <c r="Q29" s="1597">
        <f t="shared" si="2"/>
        <v>1</v>
      </c>
      <c r="R29">
        <f t="shared" si="1"/>
        <v>0</v>
      </c>
    </row>
    <row r="30" spans="3:26" ht="20.100000000000001" customHeight="1">
      <c r="C30" s="34">
        <v>16</v>
      </c>
      <c r="D30" s="1782" t="str">
        <f>IF('3A.Occpcy&amp;Rent'!$D30="","",VLOOKUP($C30,'3A.Occpcy&amp;Rent'!$C$15:$L$414,2,FALSE))</f>
        <v/>
      </c>
      <c r="E30" s="1783" t="str">
        <f>IF('3A.Occpcy&amp;Rent'!$D30="","",VLOOKUP($C30,'3A.Occpcy&amp;Rent'!$C$15:$L$414,3,FALSE))</f>
        <v/>
      </c>
      <c r="F30" s="1784" t="str">
        <f>IF('3A.Occpcy&amp;Rent'!$D30="","",VLOOKUP($C30,'3A.Occpcy&amp;Rent'!$C$15:$L$414,10,FALSE))</f>
        <v/>
      </c>
      <c r="G30" s="1785" t="str">
        <f>IF('3A.Occpcy&amp;Rent'!$D30="","",VLOOKUP($C30,'3A.Occpcy&amp;Rent'!$C$15:$L$414,5,FALSE))</f>
        <v/>
      </c>
      <c r="H30" s="1727"/>
      <c r="I30" s="1727"/>
      <c r="J30" s="1727"/>
      <c r="K30" s="1727"/>
      <c r="L30" s="1727"/>
      <c r="M30" s="1469"/>
      <c r="N30" s="1729"/>
      <c r="P30" s="1597">
        <f t="shared" si="0"/>
        <v>1</v>
      </c>
      <c r="Q30" s="1597">
        <f t="shared" si="2"/>
        <v>1</v>
      </c>
      <c r="R30">
        <f t="shared" si="1"/>
        <v>0</v>
      </c>
    </row>
    <row r="31" spans="3:26" ht="20.100000000000001" customHeight="1">
      <c r="C31" s="34">
        <v>17</v>
      </c>
      <c r="D31" s="1782" t="str">
        <f>IF('3A.Occpcy&amp;Rent'!$D31="","",VLOOKUP($C31,'3A.Occpcy&amp;Rent'!$C$15:$L$414,2,FALSE))</f>
        <v/>
      </c>
      <c r="E31" s="1783" t="str">
        <f>IF('3A.Occpcy&amp;Rent'!$D31="","",VLOOKUP($C31,'3A.Occpcy&amp;Rent'!$C$15:$L$414,3,FALSE))</f>
        <v/>
      </c>
      <c r="F31" s="1784" t="str">
        <f>IF('3A.Occpcy&amp;Rent'!$D31="","",VLOOKUP($C31,'3A.Occpcy&amp;Rent'!$C$15:$L$414,10,FALSE))</f>
        <v/>
      </c>
      <c r="G31" s="1785" t="str">
        <f>IF('3A.Occpcy&amp;Rent'!$D31="","",VLOOKUP($C31,'3A.Occpcy&amp;Rent'!$C$15:$L$414,5,FALSE))</f>
        <v/>
      </c>
      <c r="H31" s="1727"/>
      <c r="I31" s="1727"/>
      <c r="J31" s="1727"/>
      <c r="K31" s="1727"/>
      <c r="L31" s="1727"/>
      <c r="M31" s="1469"/>
      <c r="N31" s="1729"/>
      <c r="P31" s="1597">
        <f t="shared" si="0"/>
        <v>1</v>
      </c>
      <c r="Q31" s="1597">
        <f t="shared" si="2"/>
        <v>1</v>
      </c>
      <c r="R31">
        <f t="shared" si="1"/>
        <v>0</v>
      </c>
    </row>
    <row r="32" spans="3:26" ht="20.100000000000001" customHeight="1">
      <c r="C32" s="34">
        <v>18</v>
      </c>
      <c r="D32" s="1782" t="str">
        <f>IF('3A.Occpcy&amp;Rent'!$D32="","",VLOOKUP($C32,'3A.Occpcy&amp;Rent'!$C$15:$L$414,2,FALSE))</f>
        <v/>
      </c>
      <c r="E32" s="1783" t="str">
        <f>IF('3A.Occpcy&amp;Rent'!$D32="","",VLOOKUP($C32,'3A.Occpcy&amp;Rent'!$C$15:$L$414,3,FALSE))</f>
        <v/>
      </c>
      <c r="F32" s="1784" t="str">
        <f>IF('3A.Occpcy&amp;Rent'!$D32="","",VLOOKUP($C32,'3A.Occpcy&amp;Rent'!$C$15:$L$414,10,FALSE))</f>
        <v/>
      </c>
      <c r="G32" s="1785" t="str">
        <f>IF('3A.Occpcy&amp;Rent'!$D32="","",VLOOKUP($C32,'3A.Occpcy&amp;Rent'!$C$15:$L$414,5,FALSE))</f>
        <v/>
      </c>
      <c r="H32" s="1727"/>
      <c r="I32" s="1727"/>
      <c r="J32" s="1727"/>
      <c r="K32" s="1727"/>
      <c r="L32" s="1727"/>
      <c r="M32" s="1469"/>
      <c r="N32" s="1729"/>
      <c r="P32" s="1597">
        <f t="shared" si="0"/>
        <v>1</v>
      </c>
      <c r="Q32" s="1597">
        <f t="shared" si="2"/>
        <v>1</v>
      </c>
      <c r="R32">
        <f t="shared" si="1"/>
        <v>0</v>
      </c>
    </row>
    <row r="33" spans="3:18" ht="20.100000000000001" customHeight="1">
      <c r="C33" s="34">
        <v>19</v>
      </c>
      <c r="D33" s="1782" t="str">
        <f>IF('3A.Occpcy&amp;Rent'!$D33="","",VLOOKUP($C33,'3A.Occpcy&amp;Rent'!$C$15:$L$414,2,FALSE))</f>
        <v/>
      </c>
      <c r="E33" s="1783" t="str">
        <f>IF('3A.Occpcy&amp;Rent'!$D33="","",VLOOKUP($C33,'3A.Occpcy&amp;Rent'!$C$15:$L$414,3,FALSE))</f>
        <v/>
      </c>
      <c r="F33" s="1784" t="str">
        <f>IF('3A.Occpcy&amp;Rent'!$D33="","",VLOOKUP($C33,'3A.Occpcy&amp;Rent'!$C$15:$L$414,10,FALSE))</f>
        <v/>
      </c>
      <c r="G33" s="1785" t="str">
        <f>IF('3A.Occpcy&amp;Rent'!$D33="","",VLOOKUP($C33,'3A.Occpcy&amp;Rent'!$C$15:$L$414,5,FALSE))</f>
        <v/>
      </c>
      <c r="H33" s="1727"/>
      <c r="I33" s="1727"/>
      <c r="J33" s="1727"/>
      <c r="K33" s="1727"/>
      <c r="L33" s="1727"/>
      <c r="M33" s="1469"/>
      <c r="N33" s="1729"/>
      <c r="P33" s="1597">
        <f t="shared" si="0"/>
        <v>1</v>
      </c>
      <c r="Q33" s="1597">
        <f t="shared" si="2"/>
        <v>1</v>
      </c>
      <c r="R33">
        <f t="shared" si="1"/>
        <v>0</v>
      </c>
    </row>
    <row r="34" spans="3:18" ht="20.100000000000001" customHeight="1">
      <c r="C34" s="34">
        <v>20</v>
      </c>
      <c r="D34" s="1782" t="str">
        <f>IF('3A.Occpcy&amp;Rent'!$D34="","",VLOOKUP($C34,'3A.Occpcy&amp;Rent'!$C$15:$L$414,2,FALSE))</f>
        <v/>
      </c>
      <c r="E34" s="1783" t="str">
        <f>IF('3A.Occpcy&amp;Rent'!$D34="","",VLOOKUP($C34,'3A.Occpcy&amp;Rent'!$C$15:$L$414,3,FALSE))</f>
        <v/>
      </c>
      <c r="F34" s="1784" t="str">
        <f>IF('3A.Occpcy&amp;Rent'!$D34="","",VLOOKUP($C34,'3A.Occpcy&amp;Rent'!$C$15:$L$414,10,FALSE))</f>
        <v/>
      </c>
      <c r="G34" s="1785" t="str">
        <f>IF('3A.Occpcy&amp;Rent'!$D34="","",VLOOKUP($C34,'3A.Occpcy&amp;Rent'!$C$15:$L$414,5,FALSE))</f>
        <v/>
      </c>
      <c r="H34" s="1727"/>
      <c r="I34" s="1727"/>
      <c r="J34" s="1727"/>
      <c r="K34" s="1727"/>
      <c r="L34" s="1727"/>
      <c r="M34" s="1469"/>
      <c r="N34" s="1729"/>
      <c r="P34" s="1597">
        <f t="shared" si="0"/>
        <v>1</v>
      </c>
      <c r="Q34" s="1597">
        <f t="shared" si="2"/>
        <v>1</v>
      </c>
      <c r="R34">
        <f t="shared" si="1"/>
        <v>0</v>
      </c>
    </row>
    <row r="35" spans="3:18" ht="20.100000000000001" customHeight="1">
      <c r="C35" s="34">
        <v>21</v>
      </c>
      <c r="D35" s="1782" t="str">
        <f>IF('3A.Occpcy&amp;Rent'!$D35="","",VLOOKUP($C35,'3A.Occpcy&amp;Rent'!$C$15:$L$414,2,FALSE))</f>
        <v/>
      </c>
      <c r="E35" s="1783" t="str">
        <f>IF('3A.Occpcy&amp;Rent'!$D35="","",VLOOKUP($C35,'3A.Occpcy&amp;Rent'!$C$15:$L$414,3,FALSE))</f>
        <v/>
      </c>
      <c r="F35" s="1784" t="str">
        <f>IF('3A.Occpcy&amp;Rent'!$D35="","",VLOOKUP($C35,'3A.Occpcy&amp;Rent'!$C$15:$L$414,10,FALSE))</f>
        <v/>
      </c>
      <c r="G35" s="1785" t="str">
        <f>IF('3A.Occpcy&amp;Rent'!$D35="","",VLOOKUP($C35,'3A.Occpcy&amp;Rent'!$C$15:$L$414,5,FALSE))</f>
        <v/>
      </c>
      <c r="H35" s="1727"/>
      <c r="I35" s="1727"/>
      <c r="J35" s="1727"/>
      <c r="K35" s="1727"/>
      <c r="L35" s="1727"/>
      <c r="M35" s="1469"/>
      <c r="N35" s="1729"/>
      <c r="P35" s="1597">
        <f t="shared" si="0"/>
        <v>1</v>
      </c>
      <c r="Q35" s="1597">
        <f t="shared" si="2"/>
        <v>1</v>
      </c>
      <c r="R35">
        <f t="shared" si="1"/>
        <v>0</v>
      </c>
    </row>
    <row r="36" spans="3:18" ht="20.100000000000001" customHeight="1">
      <c r="C36" s="34">
        <v>22</v>
      </c>
      <c r="D36" s="1782" t="str">
        <f>IF('3A.Occpcy&amp;Rent'!$D36="","",VLOOKUP($C36,'3A.Occpcy&amp;Rent'!$C$15:$L$414,2,FALSE))</f>
        <v/>
      </c>
      <c r="E36" s="1783" t="str">
        <f>IF('3A.Occpcy&amp;Rent'!$D36="","",VLOOKUP($C36,'3A.Occpcy&amp;Rent'!$C$15:$L$414,3,FALSE))</f>
        <v/>
      </c>
      <c r="F36" s="1784" t="str">
        <f>IF('3A.Occpcy&amp;Rent'!$D36="","",VLOOKUP($C36,'3A.Occpcy&amp;Rent'!$C$15:$L$414,10,FALSE))</f>
        <v/>
      </c>
      <c r="G36" s="1785" t="str">
        <f>IF('3A.Occpcy&amp;Rent'!$D36="","",VLOOKUP($C36,'3A.Occpcy&amp;Rent'!$C$15:$L$414,5,FALSE))</f>
        <v/>
      </c>
      <c r="H36" s="1727"/>
      <c r="I36" s="1727"/>
      <c r="J36" s="1727"/>
      <c r="K36" s="1727"/>
      <c r="L36" s="1727"/>
      <c r="M36" s="1469"/>
      <c r="N36" s="1729"/>
      <c r="P36" s="1597">
        <f t="shared" si="0"/>
        <v>1</v>
      </c>
      <c r="Q36" s="1597">
        <f t="shared" si="2"/>
        <v>1</v>
      </c>
      <c r="R36">
        <f t="shared" si="1"/>
        <v>0</v>
      </c>
    </row>
    <row r="37" spans="3:18" ht="20.100000000000001" customHeight="1">
      <c r="C37" s="34">
        <v>23</v>
      </c>
      <c r="D37" s="1782" t="str">
        <f>IF('3A.Occpcy&amp;Rent'!$D37="","",VLOOKUP($C37,'3A.Occpcy&amp;Rent'!$C$15:$L$414,2,FALSE))</f>
        <v/>
      </c>
      <c r="E37" s="1783" t="str">
        <f>IF('3A.Occpcy&amp;Rent'!$D37="","",VLOOKUP($C37,'3A.Occpcy&amp;Rent'!$C$15:$L$414,3,FALSE))</f>
        <v/>
      </c>
      <c r="F37" s="1784" t="str">
        <f>IF('3A.Occpcy&amp;Rent'!$D37="","",VLOOKUP($C37,'3A.Occpcy&amp;Rent'!$C$15:$L$414,10,FALSE))</f>
        <v/>
      </c>
      <c r="G37" s="1785" t="str">
        <f>IF('3A.Occpcy&amp;Rent'!$D37="","",VLOOKUP($C37,'3A.Occpcy&amp;Rent'!$C$15:$L$414,5,FALSE))</f>
        <v/>
      </c>
      <c r="H37" s="1727"/>
      <c r="I37" s="1727"/>
      <c r="J37" s="1727"/>
      <c r="K37" s="1727"/>
      <c r="L37" s="1727"/>
      <c r="M37" s="1469"/>
      <c r="N37" s="1729"/>
      <c r="P37" s="1597">
        <f t="shared" si="0"/>
        <v>1</v>
      </c>
      <c r="Q37" s="1597">
        <f t="shared" si="2"/>
        <v>1</v>
      </c>
      <c r="R37">
        <f t="shared" si="1"/>
        <v>0</v>
      </c>
    </row>
    <row r="38" spans="3:18" ht="20.100000000000001" customHeight="1">
      <c r="C38" s="34">
        <v>24</v>
      </c>
      <c r="D38" s="1782" t="str">
        <f>IF('3A.Occpcy&amp;Rent'!$D38="","",VLOOKUP($C38,'3A.Occpcy&amp;Rent'!$C$15:$L$414,2,FALSE))</f>
        <v/>
      </c>
      <c r="E38" s="1783" t="str">
        <f>IF('3A.Occpcy&amp;Rent'!$D38="","",VLOOKUP($C38,'3A.Occpcy&amp;Rent'!$C$15:$L$414,3,FALSE))</f>
        <v/>
      </c>
      <c r="F38" s="1784" t="str">
        <f>IF('3A.Occpcy&amp;Rent'!$D38="","",VLOOKUP($C38,'3A.Occpcy&amp;Rent'!$C$15:$L$414,10,FALSE))</f>
        <v/>
      </c>
      <c r="G38" s="1785" t="str">
        <f>IF('3A.Occpcy&amp;Rent'!$D38="","",VLOOKUP($C38,'3A.Occpcy&amp;Rent'!$C$15:$L$414,5,FALSE))</f>
        <v/>
      </c>
      <c r="H38" s="1727"/>
      <c r="I38" s="1727"/>
      <c r="J38" s="1727"/>
      <c r="K38" s="1727"/>
      <c r="L38" s="1727"/>
      <c r="M38" s="1469"/>
      <c r="N38" s="1729"/>
      <c r="P38" s="1597">
        <f t="shared" si="0"/>
        <v>1</v>
      </c>
      <c r="Q38" s="1597">
        <f t="shared" si="2"/>
        <v>1</v>
      </c>
      <c r="R38">
        <f t="shared" si="1"/>
        <v>0</v>
      </c>
    </row>
    <row r="39" spans="3:18" ht="20.100000000000001" customHeight="1">
      <c r="C39" s="34">
        <v>25</v>
      </c>
      <c r="D39" s="1782" t="str">
        <f>IF('3A.Occpcy&amp;Rent'!$D39="","",VLOOKUP($C39,'3A.Occpcy&amp;Rent'!$C$15:$L$414,2,FALSE))</f>
        <v/>
      </c>
      <c r="E39" s="1783" t="str">
        <f>IF('3A.Occpcy&amp;Rent'!$D39="","",VLOOKUP($C39,'3A.Occpcy&amp;Rent'!$C$15:$L$414,3,FALSE))</f>
        <v/>
      </c>
      <c r="F39" s="1784" t="str">
        <f>IF('3A.Occpcy&amp;Rent'!$D39="","",VLOOKUP($C39,'3A.Occpcy&amp;Rent'!$C$15:$L$414,10,FALSE))</f>
        <v/>
      </c>
      <c r="G39" s="1785" t="str">
        <f>IF('3A.Occpcy&amp;Rent'!$D39="","",VLOOKUP($C39,'3A.Occpcy&amp;Rent'!$C$15:$L$414,5,FALSE))</f>
        <v/>
      </c>
      <c r="H39" s="1727"/>
      <c r="I39" s="1727"/>
      <c r="J39" s="1727"/>
      <c r="K39" s="1727"/>
      <c r="L39" s="1727"/>
      <c r="M39" s="1469"/>
      <c r="N39" s="1729"/>
      <c r="P39" s="1597">
        <f t="shared" si="0"/>
        <v>1</v>
      </c>
      <c r="Q39" s="1597">
        <f t="shared" si="2"/>
        <v>1</v>
      </c>
      <c r="R39">
        <f t="shared" si="1"/>
        <v>0</v>
      </c>
    </row>
    <row r="40" spans="3:18" ht="20.100000000000001" customHeight="1">
      <c r="C40" s="34">
        <v>26</v>
      </c>
      <c r="D40" s="1782" t="str">
        <f>IF('3A.Occpcy&amp;Rent'!$D40="","",VLOOKUP($C40,'3A.Occpcy&amp;Rent'!$C$15:$L$414,2,FALSE))</f>
        <v/>
      </c>
      <c r="E40" s="1783" t="str">
        <f>IF('3A.Occpcy&amp;Rent'!$D40="","",VLOOKUP($C40,'3A.Occpcy&amp;Rent'!$C$15:$L$414,3,FALSE))</f>
        <v/>
      </c>
      <c r="F40" s="1784" t="str">
        <f>IF('3A.Occpcy&amp;Rent'!$D40="","",VLOOKUP($C40,'3A.Occpcy&amp;Rent'!$C$15:$L$414,10,FALSE))</f>
        <v/>
      </c>
      <c r="G40" s="1785" t="str">
        <f>IF('3A.Occpcy&amp;Rent'!$D40="","",VLOOKUP($C40,'3A.Occpcy&amp;Rent'!$C$15:$L$414,5,FALSE))</f>
        <v/>
      </c>
      <c r="H40" s="1727"/>
      <c r="I40" s="1727"/>
      <c r="J40" s="1727"/>
      <c r="K40" s="1727"/>
      <c r="L40" s="1727"/>
      <c r="M40" s="1469"/>
      <c r="N40" s="1729"/>
      <c r="P40" s="1597">
        <f t="shared" si="0"/>
        <v>1</v>
      </c>
      <c r="Q40" s="1597">
        <f t="shared" si="2"/>
        <v>1</v>
      </c>
      <c r="R40">
        <f t="shared" si="1"/>
        <v>0</v>
      </c>
    </row>
    <row r="41" spans="3:18" ht="20.100000000000001" customHeight="1">
      <c r="C41" s="34">
        <v>27</v>
      </c>
      <c r="D41" s="1782" t="str">
        <f>IF('3A.Occpcy&amp;Rent'!$D41="","",VLOOKUP($C41,'3A.Occpcy&amp;Rent'!$C$15:$L$414,2,FALSE))</f>
        <v/>
      </c>
      <c r="E41" s="1783" t="str">
        <f>IF('3A.Occpcy&amp;Rent'!$D41="","",VLOOKUP($C41,'3A.Occpcy&amp;Rent'!$C$15:$L$414,3,FALSE))</f>
        <v/>
      </c>
      <c r="F41" s="1784" t="str">
        <f>IF('3A.Occpcy&amp;Rent'!$D41="","",VLOOKUP($C41,'3A.Occpcy&amp;Rent'!$C$15:$L$414,10,FALSE))</f>
        <v/>
      </c>
      <c r="G41" s="1785" t="str">
        <f>IF('3A.Occpcy&amp;Rent'!$D41="","",VLOOKUP($C41,'3A.Occpcy&amp;Rent'!$C$15:$L$414,5,FALSE))</f>
        <v/>
      </c>
      <c r="H41" s="1727"/>
      <c r="I41" s="1727"/>
      <c r="J41" s="1727"/>
      <c r="K41" s="1727"/>
      <c r="L41" s="1727"/>
      <c r="M41" s="1469"/>
      <c r="N41" s="1729"/>
      <c r="P41" s="1597">
        <f t="shared" si="0"/>
        <v>1</v>
      </c>
      <c r="Q41" s="1597">
        <f t="shared" si="2"/>
        <v>1</v>
      </c>
      <c r="R41">
        <f t="shared" si="1"/>
        <v>0</v>
      </c>
    </row>
    <row r="42" spans="3:18" ht="20.100000000000001" customHeight="1">
      <c r="C42" s="34">
        <v>28</v>
      </c>
      <c r="D42" s="1782" t="str">
        <f>IF('3A.Occpcy&amp;Rent'!$D42="","",VLOOKUP($C42,'3A.Occpcy&amp;Rent'!$C$15:$L$414,2,FALSE))</f>
        <v/>
      </c>
      <c r="E42" s="1783" t="str">
        <f>IF('3A.Occpcy&amp;Rent'!$D42="","",VLOOKUP($C42,'3A.Occpcy&amp;Rent'!$C$15:$L$414,3,FALSE))</f>
        <v/>
      </c>
      <c r="F42" s="1784" t="str">
        <f>IF('3A.Occpcy&amp;Rent'!$D42="","",VLOOKUP($C42,'3A.Occpcy&amp;Rent'!$C$15:$L$414,10,FALSE))</f>
        <v/>
      </c>
      <c r="G42" s="1785" t="str">
        <f>IF('3A.Occpcy&amp;Rent'!$D42="","",VLOOKUP($C42,'3A.Occpcy&amp;Rent'!$C$15:$L$414,5,FALSE))</f>
        <v/>
      </c>
      <c r="H42" s="1727"/>
      <c r="I42" s="1727"/>
      <c r="J42" s="1727"/>
      <c r="K42" s="1727"/>
      <c r="L42" s="1727"/>
      <c r="M42" s="1469"/>
      <c r="N42" s="1729"/>
      <c r="P42" s="1597">
        <f t="shared" si="0"/>
        <v>1</v>
      </c>
      <c r="Q42" s="1597">
        <f t="shared" si="2"/>
        <v>1</v>
      </c>
      <c r="R42">
        <f t="shared" si="1"/>
        <v>0</v>
      </c>
    </row>
    <row r="43" spans="3:18" ht="20.100000000000001" customHeight="1">
      <c r="C43" s="34">
        <v>29</v>
      </c>
      <c r="D43" s="1782" t="str">
        <f>IF('3A.Occpcy&amp;Rent'!$D43="","",VLOOKUP($C43,'3A.Occpcy&amp;Rent'!$C$15:$L$414,2,FALSE))</f>
        <v/>
      </c>
      <c r="E43" s="1783" t="str">
        <f>IF('3A.Occpcy&amp;Rent'!$D43="","",VLOOKUP($C43,'3A.Occpcy&amp;Rent'!$C$15:$L$414,3,FALSE))</f>
        <v/>
      </c>
      <c r="F43" s="1784" t="str">
        <f>IF('3A.Occpcy&amp;Rent'!$D43="","",VLOOKUP($C43,'3A.Occpcy&amp;Rent'!$C$15:$L$414,10,FALSE))</f>
        <v/>
      </c>
      <c r="G43" s="1785" t="str">
        <f>IF('3A.Occpcy&amp;Rent'!$D43="","",VLOOKUP($C43,'3A.Occpcy&amp;Rent'!$C$15:$L$414,5,FALSE))</f>
        <v/>
      </c>
      <c r="H43" s="1727"/>
      <c r="I43" s="1727"/>
      <c r="J43" s="1727"/>
      <c r="K43" s="1727"/>
      <c r="L43" s="1727"/>
      <c r="M43" s="1469"/>
      <c r="N43" s="1729"/>
      <c r="P43" s="1597">
        <f t="shared" si="0"/>
        <v>1</v>
      </c>
      <c r="Q43" s="1597">
        <f t="shared" si="2"/>
        <v>1</v>
      </c>
      <c r="R43">
        <f t="shared" si="1"/>
        <v>0</v>
      </c>
    </row>
    <row r="44" spans="3:18" ht="20.100000000000001" customHeight="1">
      <c r="C44" s="34">
        <v>30</v>
      </c>
      <c r="D44" s="1782" t="str">
        <f>IF('3A.Occpcy&amp;Rent'!$D44="","",VLOOKUP($C44,'3A.Occpcy&amp;Rent'!$C$15:$L$414,2,FALSE))</f>
        <v/>
      </c>
      <c r="E44" s="1783" t="str">
        <f>IF('3A.Occpcy&amp;Rent'!$D44="","",VLOOKUP($C44,'3A.Occpcy&amp;Rent'!$C$15:$L$414,3,FALSE))</f>
        <v/>
      </c>
      <c r="F44" s="1784" t="str">
        <f>IF('3A.Occpcy&amp;Rent'!$D44="","",VLOOKUP($C44,'3A.Occpcy&amp;Rent'!$C$15:$L$414,10,FALSE))</f>
        <v/>
      </c>
      <c r="G44" s="1785" t="str">
        <f>IF('3A.Occpcy&amp;Rent'!$D44="","",VLOOKUP($C44,'3A.Occpcy&amp;Rent'!$C$15:$L$414,5,FALSE))</f>
        <v/>
      </c>
      <c r="H44" s="1727"/>
      <c r="I44" s="1727"/>
      <c r="J44" s="1727"/>
      <c r="K44" s="1727"/>
      <c r="L44" s="1727"/>
      <c r="M44" s="1469"/>
      <c r="N44" s="1729"/>
      <c r="P44" s="1597">
        <f t="shared" si="0"/>
        <v>1</v>
      </c>
      <c r="Q44" s="1597">
        <f t="shared" si="2"/>
        <v>1</v>
      </c>
      <c r="R44">
        <f t="shared" si="1"/>
        <v>0</v>
      </c>
    </row>
    <row r="45" spans="3:18" ht="20.100000000000001" customHeight="1">
      <c r="C45" s="34">
        <v>31</v>
      </c>
      <c r="D45" s="1782" t="str">
        <f>IF('3A.Occpcy&amp;Rent'!$D45="","",VLOOKUP($C45,'3A.Occpcy&amp;Rent'!$C$15:$L$414,2,FALSE))</f>
        <v/>
      </c>
      <c r="E45" s="1783" t="str">
        <f>IF('3A.Occpcy&amp;Rent'!$D45="","",VLOOKUP($C45,'3A.Occpcy&amp;Rent'!$C$15:$L$414,3,FALSE))</f>
        <v/>
      </c>
      <c r="F45" s="1784" t="str">
        <f>IF('3A.Occpcy&amp;Rent'!$D45="","",VLOOKUP($C45,'3A.Occpcy&amp;Rent'!$C$15:$L$414,10,FALSE))</f>
        <v/>
      </c>
      <c r="G45" s="1785" t="str">
        <f>IF('3A.Occpcy&amp;Rent'!$D45="","",VLOOKUP($C45,'3A.Occpcy&amp;Rent'!$C$15:$L$414,5,FALSE))</f>
        <v/>
      </c>
      <c r="H45" s="1727"/>
      <c r="I45" s="1727"/>
      <c r="J45" s="1727"/>
      <c r="K45" s="1727"/>
      <c r="L45" s="1727"/>
      <c r="M45" s="1469"/>
      <c r="N45" s="1729"/>
      <c r="P45" s="1597">
        <f t="shared" si="0"/>
        <v>1</v>
      </c>
      <c r="Q45" s="1597">
        <f t="shared" si="2"/>
        <v>1</v>
      </c>
      <c r="R45">
        <f t="shared" si="1"/>
        <v>0</v>
      </c>
    </row>
    <row r="46" spans="3:18" ht="20.100000000000001" customHeight="1">
      <c r="C46" s="34">
        <v>32</v>
      </c>
      <c r="D46" s="1782" t="str">
        <f>IF('3A.Occpcy&amp;Rent'!$D46="","",VLOOKUP($C46,'3A.Occpcy&amp;Rent'!$C$15:$L$414,2,FALSE))</f>
        <v/>
      </c>
      <c r="E46" s="1783" t="str">
        <f>IF('3A.Occpcy&amp;Rent'!$D46="","",VLOOKUP($C46,'3A.Occpcy&amp;Rent'!$C$15:$L$414,3,FALSE))</f>
        <v/>
      </c>
      <c r="F46" s="1784" t="str">
        <f>IF('3A.Occpcy&amp;Rent'!$D46="","",VLOOKUP($C46,'3A.Occpcy&amp;Rent'!$C$15:$L$414,10,FALSE))</f>
        <v/>
      </c>
      <c r="G46" s="1785" t="str">
        <f>IF('3A.Occpcy&amp;Rent'!$D46="","",VLOOKUP($C46,'3A.Occpcy&amp;Rent'!$C$15:$L$414,5,FALSE))</f>
        <v/>
      </c>
      <c r="H46" s="1727"/>
      <c r="I46" s="1727"/>
      <c r="J46" s="1727"/>
      <c r="K46" s="1727"/>
      <c r="L46" s="1727"/>
      <c r="M46" s="1469"/>
      <c r="N46" s="1729"/>
      <c r="P46" s="1597">
        <f t="shared" si="0"/>
        <v>1</v>
      </c>
      <c r="Q46" s="1597">
        <f t="shared" si="2"/>
        <v>1</v>
      </c>
      <c r="R46">
        <f t="shared" si="1"/>
        <v>0</v>
      </c>
    </row>
    <row r="47" spans="3:18" ht="20.100000000000001" customHeight="1">
      <c r="C47" s="34">
        <v>33</v>
      </c>
      <c r="D47" s="1782" t="str">
        <f>IF('3A.Occpcy&amp;Rent'!$D47="","",VLOOKUP($C47,'3A.Occpcy&amp;Rent'!$C$15:$L$414,2,FALSE))</f>
        <v/>
      </c>
      <c r="E47" s="1783" t="str">
        <f>IF('3A.Occpcy&amp;Rent'!$D47="","",VLOOKUP($C47,'3A.Occpcy&amp;Rent'!$C$15:$L$414,3,FALSE))</f>
        <v/>
      </c>
      <c r="F47" s="1784" t="str">
        <f>IF('3A.Occpcy&amp;Rent'!$D47="","",VLOOKUP($C47,'3A.Occpcy&amp;Rent'!$C$15:$L$414,10,FALSE))</f>
        <v/>
      </c>
      <c r="G47" s="1785" t="str">
        <f>IF('3A.Occpcy&amp;Rent'!$D47="","",VLOOKUP($C47,'3A.Occpcy&amp;Rent'!$C$15:$L$414,5,FALSE))</f>
        <v/>
      </c>
      <c r="H47" s="1727"/>
      <c r="I47" s="1727"/>
      <c r="J47" s="1727"/>
      <c r="K47" s="1727"/>
      <c r="L47" s="1727"/>
      <c r="M47" s="1469"/>
      <c r="N47" s="1729"/>
      <c r="P47" s="1597">
        <f t="shared" si="0"/>
        <v>1</v>
      </c>
      <c r="Q47" s="1597">
        <f t="shared" si="2"/>
        <v>1</v>
      </c>
      <c r="R47">
        <f t="shared" si="1"/>
        <v>0</v>
      </c>
    </row>
    <row r="48" spans="3:18" ht="20.100000000000001" customHeight="1">
      <c r="C48" s="34">
        <v>34</v>
      </c>
      <c r="D48" s="1782" t="str">
        <f>IF('3A.Occpcy&amp;Rent'!$D48="","",VLOOKUP($C48,'3A.Occpcy&amp;Rent'!$C$15:$L$414,2,FALSE))</f>
        <v/>
      </c>
      <c r="E48" s="1783" t="str">
        <f>IF('3A.Occpcy&amp;Rent'!$D48="","",VLOOKUP($C48,'3A.Occpcy&amp;Rent'!$C$15:$L$414,3,FALSE))</f>
        <v/>
      </c>
      <c r="F48" s="1784" t="str">
        <f>IF('3A.Occpcy&amp;Rent'!$D48="","",VLOOKUP($C48,'3A.Occpcy&amp;Rent'!$C$15:$L$414,10,FALSE))</f>
        <v/>
      </c>
      <c r="G48" s="1785" t="str">
        <f>IF('3A.Occpcy&amp;Rent'!$D48="","",VLOOKUP($C48,'3A.Occpcy&amp;Rent'!$C$15:$L$414,5,FALSE))</f>
        <v/>
      </c>
      <c r="H48" s="1727"/>
      <c r="I48" s="1727"/>
      <c r="J48" s="1727"/>
      <c r="K48" s="1727"/>
      <c r="L48" s="1727"/>
      <c r="M48" s="1469"/>
      <c r="N48" s="1729"/>
      <c r="P48" s="1597">
        <f t="shared" si="0"/>
        <v>1</v>
      </c>
      <c r="Q48" s="1597">
        <f t="shared" si="2"/>
        <v>1</v>
      </c>
      <c r="R48">
        <f t="shared" si="1"/>
        <v>0</v>
      </c>
    </row>
    <row r="49" spans="3:18" ht="20.100000000000001" customHeight="1">
      <c r="C49" s="34">
        <v>35</v>
      </c>
      <c r="D49" s="1782" t="str">
        <f>IF('3A.Occpcy&amp;Rent'!$D49="","",VLOOKUP($C49,'3A.Occpcy&amp;Rent'!$C$15:$L$414,2,FALSE))</f>
        <v/>
      </c>
      <c r="E49" s="1783" t="str">
        <f>IF('3A.Occpcy&amp;Rent'!$D49="","",VLOOKUP($C49,'3A.Occpcy&amp;Rent'!$C$15:$L$414,3,FALSE))</f>
        <v/>
      </c>
      <c r="F49" s="1784" t="str">
        <f>IF('3A.Occpcy&amp;Rent'!$D49="","",VLOOKUP($C49,'3A.Occpcy&amp;Rent'!$C$15:$L$414,10,FALSE))</f>
        <v/>
      </c>
      <c r="G49" s="1785" t="str">
        <f>IF('3A.Occpcy&amp;Rent'!$D49="","",VLOOKUP($C49,'3A.Occpcy&amp;Rent'!$C$15:$L$414,5,FALSE))</f>
        <v/>
      </c>
      <c r="H49" s="1727"/>
      <c r="I49" s="1727"/>
      <c r="J49" s="1727"/>
      <c r="K49" s="1727"/>
      <c r="L49" s="1727"/>
      <c r="M49" s="1469"/>
      <c r="N49" s="1729"/>
      <c r="P49" s="1597">
        <f t="shared" si="0"/>
        <v>1</v>
      </c>
      <c r="Q49" s="1597">
        <f t="shared" si="2"/>
        <v>1</v>
      </c>
      <c r="R49">
        <f t="shared" si="1"/>
        <v>0</v>
      </c>
    </row>
    <row r="50" spans="3:18" ht="20.100000000000001" customHeight="1">
      <c r="C50" s="34">
        <v>36</v>
      </c>
      <c r="D50" s="1782" t="str">
        <f>IF('3A.Occpcy&amp;Rent'!$D50="","",VLOOKUP($C50,'3A.Occpcy&amp;Rent'!$C$15:$L$414,2,FALSE))</f>
        <v/>
      </c>
      <c r="E50" s="1783" t="str">
        <f>IF('3A.Occpcy&amp;Rent'!$D50="","",VLOOKUP($C50,'3A.Occpcy&amp;Rent'!$C$15:$L$414,3,FALSE))</f>
        <v/>
      </c>
      <c r="F50" s="1784" t="str">
        <f>IF('3A.Occpcy&amp;Rent'!$D50="","",VLOOKUP($C50,'3A.Occpcy&amp;Rent'!$C$15:$L$414,10,FALSE))</f>
        <v/>
      </c>
      <c r="G50" s="1785" t="str">
        <f>IF('3A.Occpcy&amp;Rent'!$D50="","",VLOOKUP($C50,'3A.Occpcy&amp;Rent'!$C$15:$L$414,5,FALSE))</f>
        <v/>
      </c>
      <c r="H50" s="1727"/>
      <c r="I50" s="1727"/>
      <c r="J50" s="1727"/>
      <c r="K50" s="1727"/>
      <c r="L50" s="1727"/>
      <c r="M50" s="1469"/>
      <c r="N50" s="1729"/>
      <c r="P50" s="1597">
        <f t="shared" si="0"/>
        <v>1</v>
      </c>
      <c r="Q50" s="1597">
        <f t="shared" si="2"/>
        <v>1</v>
      </c>
      <c r="R50">
        <f t="shared" si="1"/>
        <v>0</v>
      </c>
    </row>
    <row r="51" spans="3:18" ht="20.100000000000001" customHeight="1">
      <c r="C51" s="34">
        <v>37</v>
      </c>
      <c r="D51" s="1782" t="str">
        <f>IF('3A.Occpcy&amp;Rent'!$D51="","",VLOOKUP($C51,'3A.Occpcy&amp;Rent'!$C$15:$L$414,2,FALSE))</f>
        <v/>
      </c>
      <c r="E51" s="1783" t="str">
        <f>IF('3A.Occpcy&amp;Rent'!$D51="","",VLOOKUP($C51,'3A.Occpcy&amp;Rent'!$C$15:$L$414,3,FALSE))</f>
        <v/>
      </c>
      <c r="F51" s="1784" t="str">
        <f>IF('3A.Occpcy&amp;Rent'!$D51="","",VLOOKUP($C51,'3A.Occpcy&amp;Rent'!$C$15:$L$414,10,FALSE))</f>
        <v/>
      </c>
      <c r="G51" s="1785" t="str">
        <f>IF('3A.Occpcy&amp;Rent'!$D51="","",VLOOKUP($C51,'3A.Occpcy&amp;Rent'!$C$15:$L$414,5,FALSE))</f>
        <v/>
      </c>
      <c r="H51" s="1727"/>
      <c r="I51" s="1727"/>
      <c r="J51" s="1727"/>
      <c r="K51" s="1727"/>
      <c r="L51" s="1727"/>
      <c r="M51" s="1469"/>
      <c r="N51" s="1729"/>
      <c r="P51" s="1597">
        <f t="shared" si="0"/>
        <v>1</v>
      </c>
      <c r="Q51" s="1597">
        <f t="shared" si="2"/>
        <v>1</v>
      </c>
      <c r="R51">
        <f t="shared" si="1"/>
        <v>0</v>
      </c>
    </row>
    <row r="52" spans="3:18" ht="20.100000000000001" customHeight="1">
      <c r="C52" s="34">
        <v>38</v>
      </c>
      <c r="D52" s="1782" t="str">
        <f>IF('3A.Occpcy&amp;Rent'!$D52="","",VLOOKUP($C52,'3A.Occpcy&amp;Rent'!$C$15:$L$414,2,FALSE))</f>
        <v/>
      </c>
      <c r="E52" s="1783" t="str">
        <f>IF('3A.Occpcy&amp;Rent'!$D52="","",VLOOKUP($C52,'3A.Occpcy&amp;Rent'!$C$15:$L$414,3,FALSE))</f>
        <v/>
      </c>
      <c r="F52" s="1784" t="str">
        <f>IF('3A.Occpcy&amp;Rent'!$D52="","",VLOOKUP($C52,'3A.Occpcy&amp;Rent'!$C$15:$L$414,10,FALSE))</f>
        <v/>
      </c>
      <c r="G52" s="1785" t="str">
        <f>IF('3A.Occpcy&amp;Rent'!$D52="","",VLOOKUP($C52,'3A.Occpcy&amp;Rent'!$C$15:$L$414,5,FALSE))</f>
        <v/>
      </c>
      <c r="H52" s="1727"/>
      <c r="I52" s="1727"/>
      <c r="J52" s="1727"/>
      <c r="K52" s="1727"/>
      <c r="L52" s="1727"/>
      <c r="M52" s="1469"/>
      <c r="N52" s="1729"/>
      <c r="P52" s="1597">
        <f t="shared" si="0"/>
        <v>1</v>
      </c>
      <c r="Q52" s="1597">
        <f t="shared" si="2"/>
        <v>1</v>
      </c>
      <c r="R52">
        <f t="shared" si="1"/>
        <v>0</v>
      </c>
    </row>
    <row r="53" spans="3:18" ht="20.100000000000001" customHeight="1">
      <c r="C53" s="34">
        <v>39</v>
      </c>
      <c r="D53" s="1782" t="str">
        <f>IF('3A.Occpcy&amp;Rent'!$D53="","",VLOOKUP($C53,'3A.Occpcy&amp;Rent'!$C$15:$L$414,2,FALSE))</f>
        <v/>
      </c>
      <c r="E53" s="1783" t="str">
        <f>IF('3A.Occpcy&amp;Rent'!$D53="","",VLOOKUP($C53,'3A.Occpcy&amp;Rent'!$C$15:$L$414,3,FALSE))</f>
        <v/>
      </c>
      <c r="F53" s="1784" t="str">
        <f>IF('3A.Occpcy&amp;Rent'!$D53="","",VLOOKUP($C53,'3A.Occpcy&amp;Rent'!$C$15:$L$414,10,FALSE))</f>
        <v/>
      </c>
      <c r="G53" s="1785" t="str">
        <f>IF('3A.Occpcy&amp;Rent'!$D53="","",VLOOKUP($C53,'3A.Occpcy&amp;Rent'!$C$15:$L$414,5,FALSE))</f>
        <v/>
      </c>
      <c r="H53" s="1727"/>
      <c r="I53" s="1727"/>
      <c r="J53" s="1727"/>
      <c r="K53" s="1727"/>
      <c r="L53" s="1727"/>
      <c r="M53" s="1469"/>
      <c r="N53" s="1729"/>
      <c r="P53" s="1597">
        <f t="shared" si="0"/>
        <v>1</v>
      </c>
      <c r="Q53" s="1597">
        <f t="shared" si="2"/>
        <v>1</v>
      </c>
      <c r="R53">
        <f t="shared" si="1"/>
        <v>0</v>
      </c>
    </row>
    <row r="54" spans="3:18" ht="20.100000000000001" customHeight="1">
      <c r="C54" s="34">
        <v>40</v>
      </c>
      <c r="D54" s="1782" t="str">
        <f>IF('3A.Occpcy&amp;Rent'!$D54="","",VLOOKUP($C54,'3A.Occpcy&amp;Rent'!$C$15:$L$414,2,FALSE))</f>
        <v/>
      </c>
      <c r="E54" s="1783" t="str">
        <f>IF('3A.Occpcy&amp;Rent'!$D54="","",VLOOKUP($C54,'3A.Occpcy&amp;Rent'!$C$15:$L$414,3,FALSE))</f>
        <v/>
      </c>
      <c r="F54" s="1784" t="str">
        <f>IF('3A.Occpcy&amp;Rent'!$D54="","",VLOOKUP($C54,'3A.Occpcy&amp;Rent'!$C$15:$L$414,10,FALSE))</f>
        <v/>
      </c>
      <c r="G54" s="1785" t="str">
        <f>IF('3A.Occpcy&amp;Rent'!$D54="","",VLOOKUP($C54,'3A.Occpcy&amp;Rent'!$C$15:$L$414,5,FALSE))</f>
        <v/>
      </c>
      <c r="H54" s="1727"/>
      <c r="I54" s="1727"/>
      <c r="J54" s="1727"/>
      <c r="K54" s="1727"/>
      <c r="L54" s="1727"/>
      <c r="M54" s="1469"/>
      <c r="N54" s="1729"/>
      <c r="P54" s="1597">
        <f t="shared" si="0"/>
        <v>1</v>
      </c>
      <c r="Q54" s="1597">
        <f t="shared" si="2"/>
        <v>1</v>
      </c>
      <c r="R54">
        <f t="shared" si="1"/>
        <v>0</v>
      </c>
    </row>
    <row r="55" spans="3:18" ht="20.100000000000001" customHeight="1">
      <c r="C55" s="34">
        <v>41</v>
      </c>
      <c r="D55" s="1782" t="str">
        <f>IF('3A.Occpcy&amp;Rent'!$D55="","",VLOOKUP($C55,'3A.Occpcy&amp;Rent'!$C$15:$L$414,2,FALSE))</f>
        <v/>
      </c>
      <c r="E55" s="1783" t="str">
        <f>IF('3A.Occpcy&amp;Rent'!$D55="","",VLOOKUP($C55,'3A.Occpcy&amp;Rent'!$C$15:$L$414,3,FALSE))</f>
        <v/>
      </c>
      <c r="F55" s="1784" t="str">
        <f>IF('3A.Occpcy&amp;Rent'!$D55="","",VLOOKUP($C55,'3A.Occpcy&amp;Rent'!$C$15:$L$414,10,FALSE))</f>
        <v/>
      </c>
      <c r="G55" s="1785" t="str">
        <f>IF('3A.Occpcy&amp;Rent'!$D55="","",VLOOKUP($C55,'3A.Occpcy&amp;Rent'!$C$15:$L$414,5,FALSE))</f>
        <v/>
      </c>
      <c r="H55" s="1727"/>
      <c r="I55" s="1727"/>
      <c r="J55" s="1727"/>
      <c r="K55" s="1727"/>
      <c r="L55" s="1727"/>
      <c r="M55" s="1469"/>
      <c r="N55" s="1729"/>
      <c r="P55" s="1597">
        <f t="shared" si="0"/>
        <v>1</v>
      </c>
      <c r="Q55" s="1597">
        <f t="shared" si="2"/>
        <v>1</v>
      </c>
      <c r="R55">
        <f t="shared" si="1"/>
        <v>0</v>
      </c>
    </row>
    <row r="56" spans="3:18" ht="20.100000000000001" customHeight="1">
      <c r="C56" s="34">
        <v>42</v>
      </c>
      <c r="D56" s="1782" t="str">
        <f>IF('3A.Occpcy&amp;Rent'!$D56="","",VLOOKUP($C56,'3A.Occpcy&amp;Rent'!$C$15:$L$414,2,FALSE))</f>
        <v/>
      </c>
      <c r="E56" s="1783" t="str">
        <f>IF('3A.Occpcy&amp;Rent'!$D56="","",VLOOKUP($C56,'3A.Occpcy&amp;Rent'!$C$15:$L$414,3,FALSE))</f>
        <v/>
      </c>
      <c r="F56" s="1784" t="str">
        <f>IF('3A.Occpcy&amp;Rent'!$D56="","",VLOOKUP($C56,'3A.Occpcy&amp;Rent'!$C$15:$L$414,10,FALSE))</f>
        <v/>
      </c>
      <c r="G56" s="1785" t="str">
        <f>IF('3A.Occpcy&amp;Rent'!$D56="","",VLOOKUP($C56,'3A.Occpcy&amp;Rent'!$C$15:$L$414,5,FALSE))</f>
        <v/>
      </c>
      <c r="H56" s="1727"/>
      <c r="I56" s="1727"/>
      <c r="J56" s="1727"/>
      <c r="K56" s="1727"/>
      <c r="L56" s="1727"/>
      <c r="M56" s="1469"/>
      <c r="N56" s="1729"/>
      <c r="P56" s="1597">
        <f t="shared" si="0"/>
        <v>1</v>
      </c>
      <c r="Q56" s="1597">
        <f t="shared" si="2"/>
        <v>1</v>
      </c>
      <c r="R56">
        <f t="shared" si="1"/>
        <v>0</v>
      </c>
    </row>
    <row r="57" spans="3:18" ht="20.100000000000001" customHeight="1">
      <c r="C57" s="34">
        <v>43</v>
      </c>
      <c r="D57" s="1782" t="str">
        <f>IF('3A.Occpcy&amp;Rent'!$D57="","",VLOOKUP($C57,'3A.Occpcy&amp;Rent'!$C$15:$L$414,2,FALSE))</f>
        <v/>
      </c>
      <c r="E57" s="1783" t="str">
        <f>IF('3A.Occpcy&amp;Rent'!$D57="","",VLOOKUP($C57,'3A.Occpcy&amp;Rent'!$C$15:$L$414,3,FALSE))</f>
        <v/>
      </c>
      <c r="F57" s="1784" t="str">
        <f>IF('3A.Occpcy&amp;Rent'!$D57="","",VLOOKUP($C57,'3A.Occpcy&amp;Rent'!$C$15:$L$414,10,FALSE))</f>
        <v/>
      </c>
      <c r="G57" s="1785" t="str">
        <f>IF('3A.Occpcy&amp;Rent'!$D57="","",VLOOKUP($C57,'3A.Occpcy&amp;Rent'!$C$15:$L$414,5,FALSE))</f>
        <v/>
      </c>
      <c r="H57" s="1727"/>
      <c r="I57" s="1727"/>
      <c r="J57" s="1727"/>
      <c r="K57" s="1727"/>
      <c r="L57" s="1727"/>
      <c r="M57" s="1469"/>
      <c r="N57" s="1729"/>
      <c r="P57" s="1597">
        <f t="shared" si="0"/>
        <v>1</v>
      </c>
      <c r="Q57" s="1597">
        <f t="shared" si="2"/>
        <v>1</v>
      </c>
      <c r="R57">
        <f t="shared" si="1"/>
        <v>0</v>
      </c>
    </row>
    <row r="58" spans="3:18" ht="20.100000000000001" customHeight="1">
      <c r="C58" s="34">
        <v>44</v>
      </c>
      <c r="D58" s="1782" t="str">
        <f>IF('3A.Occpcy&amp;Rent'!$D58="","",VLOOKUP($C58,'3A.Occpcy&amp;Rent'!$C$15:$L$414,2,FALSE))</f>
        <v/>
      </c>
      <c r="E58" s="1783" t="str">
        <f>IF('3A.Occpcy&amp;Rent'!$D58="","",VLOOKUP($C58,'3A.Occpcy&amp;Rent'!$C$15:$L$414,3,FALSE))</f>
        <v/>
      </c>
      <c r="F58" s="1784" t="str">
        <f>IF('3A.Occpcy&amp;Rent'!$D58="","",VLOOKUP($C58,'3A.Occpcy&amp;Rent'!$C$15:$L$414,10,FALSE))</f>
        <v/>
      </c>
      <c r="G58" s="1785" t="str">
        <f>IF('3A.Occpcy&amp;Rent'!$D58="","",VLOOKUP($C58,'3A.Occpcy&amp;Rent'!$C$15:$L$414,5,FALSE))</f>
        <v/>
      </c>
      <c r="H58" s="1727"/>
      <c r="I58" s="1727"/>
      <c r="J58" s="1727"/>
      <c r="K58" s="1727"/>
      <c r="L58" s="1727"/>
      <c r="M58" s="1469"/>
      <c r="N58" s="1729"/>
      <c r="P58" s="1597">
        <f t="shared" si="0"/>
        <v>1</v>
      </c>
      <c r="Q58" s="1597">
        <f t="shared" si="2"/>
        <v>1</v>
      </c>
      <c r="R58">
        <f t="shared" si="1"/>
        <v>0</v>
      </c>
    </row>
    <row r="59" spans="3:18" ht="20.100000000000001" customHeight="1">
      <c r="C59" s="34">
        <v>45</v>
      </c>
      <c r="D59" s="1782" t="str">
        <f>IF('3A.Occpcy&amp;Rent'!$D59="","",VLOOKUP($C59,'3A.Occpcy&amp;Rent'!$C$15:$L$414,2,FALSE))</f>
        <v/>
      </c>
      <c r="E59" s="1783" t="str">
        <f>IF('3A.Occpcy&amp;Rent'!$D59="","",VLOOKUP($C59,'3A.Occpcy&amp;Rent'!$C$15:$L$414,3,FALSE))</f>
        <v/>
      </c>
      <c r="F59" s="1784" t="str">
        <f>IF('3A.Occpcy&amp;Rent'!$D59="","",VLOOKUP($C59,'3A.Occpcy&amp;Rent'!$C$15:$L$414,10,FALSE))</f>
        <v/>
      </c>
      <c r="G59" s="1785" t="str">
        <f>IF('3A.Occpcy&amp;Rent'!$D59="","",VLOOKUP($C59,'3A.Occpcy&amp;Rent'!$C$15:$L$414,5,FALSE))</f>
        <v/>
      </c>
      <c r="H59" s="1727"/>
      <c r="I59" s="1727"/>
      <c r="J59" s="1727"/>
      <c r="K59" s="1727"/>
      <c r="L59" s="1727"/>
      <c r="M59" s="1469"/>
      <c r="N59" s="1729"/>
      <c r="P59" s="1597">
        <f t="shared" si="0"/>
        <v>1</v>
      </c>
      <c r="Q59" s="1597">
        <f t="shared" si="2"/>
        <v>1</v>
      </c>
      <c r="R59">
        <f t="shared" si="1"/>
        <v>0</v>
      </c>
    </row>
    <row r="60" spans="3:18" ht="20.100000000000001" customHeight="1">
      <c r="C60" s="34">
        <v>46</v>
      </c>
      <c r="D60" s="1782" t="str">
        <f>IF('3A.Occpcy&amp;Rent'!$D60="","",VLOOKUP($C60,'3A.Occpcy&amp;Rent'!$C$15:$L$414,2,FALSE))</f>
        <v/>
      </c>
      <c r="E60" s="1783" t="str">
        <f>IF('3A.Occpcy&amp;Rent'!$D60="","",VLOOKUP($C60,'3A.Occpcy&amp;Rent'!$C$15:$L$414,3,FALSE))</f>
        <v/>
      </c>
      <c r="F60" s="1784" t="str">
        <f>IF('3A.Occpcy&amp;Rent'!$D60="","",VLOOKUP($C60,'3A.Occpcy&amp;Rent'!$C$15:$L$414,10,FALSE))</f>
        <v/>
      </c>
      <c r="G60" s="1785" t="str">
        <f>IF('3A.Occpcy&amp;Rent'!$D60="","",VLOOKUP($C60,'3A.Occpcy&amp;Rent'!$C$15:$L$414,5,FALSE))</f>
        <v/>
      </c>
      <c r="H60" s="1727"/>
      <c r="I60" s="1727"/>
      <c r="J60" s="1727"/>
      <c r="K60" s="1727"/>
      <c r="L60" s="1727"/>
      <c r="M60" s="1469"/>
      <c r="N60" s="1729"/>
      <c r="P60" s="1597">
        <f t="shared" si="0"/>
        <v>1</v>
      </c>
      <c r="Q60" s="1597">
        <f t="shared" si="2"/>
        <v>1</v>
      </c>
      <c r="R60">
        <f t="shared" si="1"/>
        <v>0</v>
      </c>
    </row>
    <row r="61" spans="3:18" ht="20.100000000000001" customHeight="1">
      <c r="C61" s="34">
        <v>47</v>
      </c>
      <c r="D61" s="1782" t="str">
        <f>IF('3A.Occpcy&amp;Rent'!$D61="","",VLOOKUP($C61,'3A.Occpcy&amp;Rent'!$C$15:$L$414,2,FALSE))</f>
        <v/>
      </c>
      <c r="E61" s="1783" t="str">
        <f>IF('3A.Occpcy&amp;Rent'!$D61="","",VLOOKUP($C61,'3A.Occpcy&amp;Rent'!$C$15:$L$414,3,FALSE))</f>
        <v/>
      </c>
      <c r="F61" s="1784" t="str">
        <f>IF('3A.Occpcy&amp;Rent'!$D61="","",VLOOKUP($C61,'3A.Occpcy&amp;Rent'!$C$15:$L$414,10,FALSE))</f>
        <v/>
      </c>
      <c r="G61" s="1785" t="str">
        <f>IF('3A.Occpcy&amp;Rent'!$D61="","",VLOOKUP($C61,'3A.Occpcy&amp;Rent'!$C$15:$L$414,5,FALSE))</f>
        <v/>
      </c>
      <c r="H61" s="1727"/>
      <c r="I61" s="1727"/>
      <c r="J61" s="1727"/>
      <c r="K61" s="1727"/>
      <c r="L61" s="1727"/>
      <c r="M61" s="1469"/>
      <c r="N61" s="1729"/>
      <c r="P61" s="1597">
        <f t="shared" si="0"/>
        <v>1</v>
      </c>
      <c r="Q61" s="1597">
        <f t="shared" si="2"/>
        <v>1</v>
      </c>
      <c r="R61">
        <f t="shared" si="1"/>
        <v>0</v>
      </c>
    </row>
    <row r="62" spans="3:18" ht="20.100000000000001" customHeight="1">
      <c r="C62" s="34">
        <v>48</v>
      </c>
      <c r="D62" s="1782" t="str">
        <f>IF('3A.Occpcy&amp;Rent'!$D62="","",VLOOKUP($C62,'3A.Occpcy&amp;Rent'!$C$15:$L$414,2,FALSE))</f>
        <v/>
      </c>
      <c r="E62" s="1783" t="str">
        <f>IF('3A.Occpcy&amp;Rent'!$D62="","",VLOOKUP($C62,'3A.Occpcy&amp;Rent'!$C$15:$L$414,3,FALSE))</f>
        <v/>
      </c>
      <c r="F62" s="1784" t="str">
        <f>IF('3A.Occpcy&amp;Rent'!$D62="","",VLOOKUP($C62,'3A.Occpcy&amp;Rent'!$C$15:$L$414,10,FALSE))</f>
        <v/>
      </c>
      <c r="G62" s="1785" t="str">
        <f>IF('3A.Occpcy&amp;Rent'!$D62="","",VLOOKUP($C62,'3A.Occpcy&amp;Rent'!$C$15:$L$414,5,FALSE))</f>
        <v/>
      </c>
      <c r="H62" s="1727"/>
      <c r="I62" s="1727"/>
      <c r="J62" s="1727"/>
      <c r="K62" s="1727"/>
      <c r="L62" s="1727"/>
      <c r="M62" s="1469"/>
      <c r="N62" s="1729"/>
      <c r="P62" s="1597">
        <f t="shared" si="0"/>
        <v>1</v>
      </c>
      <c r="Q62" s="1597">
        <f t="shared" si="2"/>
        <v>1</v>
      </c>
      <c r="R62">
        <f t="shared" si="1"/>
        <v>0</v>
      </c>
    </row>
    <row r="63" spans="3:18" ht="20.100000000000001" customHeight="1">
      <c r="C63" s="34">
        <v>49</v>
      </c>
      <c r="D63" s="1782" t="str">
        <f>IF('3A.Occpcy&amp;Rent'!$D63="","",VLOOKUP($C63,'3A.Occpcy&amp;Rent'!$C$15:$L$414,2,FALSE))</f>
        <v/>
      </c>
      <c r="E63" s="1783" t="str">
        <f>IF('3A.Occpcy&amp;Rent'!$D63="","",VLOOKUP($C63,'3A.Occpcy&amp;Rent'!$C$15:$L$414,3,FALSE))</f>
        <v/>
      </c>
      <c r="F63" s="1784" t="str">
        <f>IF('3A.Occpcy&amp;Rent'!$D63="","",VLOOKUP($C63,'3A.Occpcy&amp;Rent'!$C$15:$L$414,10,FALSE))</f>
        <v/>
      </c>
      <c r="G63" s="1785" t="str">
        <f>IF('3A.Occpcy&amp;Rent'!$D63="","",VLOOKUP($C63,'3A.Occpcy&amp;Rent'!$C$15:$L$414,5,FALSE))</f>
        <v/>
      </c>
      <c r="H63" s="1727"/>
      <c r="I63" s="1727"/>
      <c r="J63" s="1727"/>
      <c r="K63" s="1727"/>
      <c r="L63" s="1727"/>
      <c r="M63" s="1469"/>
      <c r="N63" s="1729"/>
      <c r="P63" s="1597">
        <f t="shared" si="0"/>
        <v>1</v>
      </c>
      <c r="Q63" s="1597">
        <f t="shared" si="2"/>
        <v>1</v>
      </c>
      <c r="R63">
        <f t="shared" si="1"/>
        <v>0</v>
      </c>
    </row>
    <row r="64" spans="3:18" ht="20.100000000000001" customHeight="1">
      <c r="C64" s="34">
        <v>50</v>
      </c>
      <c r="D64" s="1782" t="str">
        <f>IF('3A.Occpcy&amp;Rent'!$D64="","",VLOOKUP($C64,'3A.Occpcy&amp;Rent'!$C$15:$L$414,2,FALSE))</f>
        <v/>
      </c>
      <c r="E64" s="1783" t="str">
        <f>IF('3A.Occpcy&amp;Rent'!$D64="","",VLOOKUP($C64,'3A.Occpcy&amp;Rent'!$C$15:$L$414,3,FALSE))</f>
        <v/>
      </c>
      <c r="F64" s="1784" t="str">
        <f>IF('3A.Occpcy&amp;Rent'!$D64="","",VLOOKUP($C64,'3A.Occpcy&amp;Rent'!$C$15:$L$414,10,FALSE))</f>
        <v/>
      </c>
      <c r="G64" s="1785" t="str">
        <f>IF('3A.Occpcy&amp;Rent'!$D64="","",VLOOKUP($C64,'3A.Occpcy&amp;Rent'!$C$15:$L$414,5,FALSE))</f>
        <v/>
      </c>
      <c r="H64" s="1727"/>
      <c r="I64" s="1727"/>
      <c r="J64" s="1727"/>
      <c r="K64" s="1727"/>
      <c r="L64" s="1727"/>
      <c r="M64" s="1469"/>
      <c r="N64" s="1729"/>
      <c r="P64" s="1597">
        <f t="shared" si="0"/>
        <v>1</v>
      </c>
      <c r="Q64" s="1597">
        <f t="shared" si="2"/>
        <v>1</v>
      </c>
      <c r="R64">
        <f t="shared" si="1"/>
        <v>0</v>
      </c>
    </row>
    <row r="65" spans="3:18" ht="20.100000000000001" customHeight="1">
      <c r="C65" s="34">
        <v>51</v>
      </c>
      <c r="D65" s="1782" t="str">
        <f>IF('3A.Occpcy&amp;Rent'!$D65="","",VLOOKUP($C65,'3A.Occpcy&amp;Rent'!$C$15:$L$414,2,FALSE))</f>
        <v/>
      </c>
      <c r="E65" s="1783" t="str">
        <f>IF('3A.Occpcy&amp;Rent'!$D65="","",VLOOKUP($C65,'3A.Occpcy&amp;Rent'!$C$15:$L$414,3,FALSE))</f>
        <v/>
      </c>
      <c r="F65" s="1784" t="str">
        <f>IF('3A.Occpcy&amp;Rent'!$D65="","",VLOOKUP($C65,'3A.Occpcy&amp;Rent'!$C$15:$L$414,10,FALSE))</f>
        <v/>
      </c>
      <c r="G65" s="1785" t="str">
        <f>IF('3A.Occpcy&amp;Rent'!$D65="","",VLOOKUP($C65,'3A.Occpcy&amp;Rent'!$C$15:$L$414,5,FALSE))</f>
        <v/>
      </c>
      <c r="H65" s="1727"/>
      <c r="I65" s="1727"/>
      <c r="J65" s="1727"/>
      <c r="K65" s="1727"/>
      <c r="L65" s="1727"/>
      <c r="M65" s="1469"/>
      <c r="N65" s="1729"/>
      <c r="P65" s="1597">
        <f t="shared" si="0"/>
        <v>1</v>
      </c>
      <c r="Q65" s="1597">
        <f t="shared" si="2"/>
        <v>1</v>
      </c>
      <c r="R65">
        <f t="shared" si="1"/>
        <v>0</v>
      </c>
    </row>
    <row r="66" spans="3:18" ht="20.100000000000001" customHeight="1">
      <c r="C66" s="34">
        <v>52</v>
      </c>
      <c r="D66" s="1782" t="str">
        <f>IF('3A.Occpcy&amp;Rent'!$D66="","",VLOOKUP($C66,'3A.Occpcy&amp;Rent'!$C$15:$L$414,2,FALSE))</f>
        <v/>
      </c>
      <c r="E66" s="1783" t="str">
        <f>IF('3A.Occpcy&amp;Rent'!$D66="","",VLOOKUP($C66,'3A.Occpcy&amp;Rent'!$C$15:$L$414,3,FALSE))</f>
        <v/>
      </c>
      <c r="F66" s="1784" t="str">
        <f>IF('3A.Occpcy&amp;Rent'!$D66="","",VLOOKUP($C66,'3A.Occpcy&amp;Rent'!$C$15:$L$414,10,FALSE))</f>
        <v/>
      </c>
      <c r="G66" s="1785" t="str">
        <f>IF('3A.Occpcy&amp;Rent'!$D66="","",VLOOKUP($C66,'3A.Occpcy&amp;Rent'!$C$15:$L$414,5,FALSE))</f>
        <v/>
      </c>
      <c r="H66" s="1727"/>
      <c r="I66" s="1727"/>
      <c r="J66" s="1727"/>
      <c r="K66" s="1727"/>
      <c r="L66" s="1727"/>
      <c r="M66" s="1469"/>
      <c r="N66" s="1729"/>
      <c r="P66" s="1597">
        <f t="shared" si="0"/>
        <v>1</v>
      </c>
      <c r="Q66" s="1597">
        <f t="shared" si="2"/>
        <v>1</v>
      </c>
      <c r="R66">
        <f t="shared" si="1"/>
        <v>0</v>
      </c>
    </row>
    <row r="67" spans="3:18" ht="20.100000000000001" customHeight="1">
      <c r="C67" s="34">
        <v>53</v>
      </c>
      <c r="D67" s="1782" t="str">
        <f>IF('3A.Occpcy&amp;Rent'!$D67="","",VLOOKUP($C67,'3A.Occpcy&amp;Rent'!$C$15:$L$414,2,FALSE))</f>
        <v/>
      </c>
      <c r="E67" s="1783" t="str">
        <f>IF('3A.Occpcy&amp;Rent'!$D67="","",VLOOKUP($C67,'3A.Occpcy&amp;Rent'!$C$15:$L$414,3,FALSE))</f>
        <v/>
      </c>
      <c r="F67" s="1784" t="str">
        <f>IF('3A.Occpcy&amp;Rent'!$D67="","",VLOOKUP($C67,'3A.Occpcy&amp;Rent'!$C$15:$L$414,10,FALSE))</f>
        <v/>
      </c>
      <c r="G67" s="1785" t="str">
        <f>IF('3A.Occpcy&amp;Rent'!$D67="","",VLOOKUP($C67,'3A.Occpcy&amp;Rent'!$C$15:$L$414,5,FALSE))</f>
        <v/>
      </c>
      <c r="H67" s="1727"/>
      <c r="I67" s="1727"/>
      <c r="J67" s="1727"/>
      <c r="K67" s="1727"/>
      <c r="L67" s="1727"/>
      <c r="M67" s="1469"/>
      <c r="N67" s="1729"/>
      <c r="P67" s="1597">
        <f t="shared" si="0"/>
        <v>1</v>
      </c>
      <c r="Q67" s="1597">
        <f t="shared" si="2"/>
        <v>1</v>
      </c>
      <c r="R67">
        <f t="shared" si="1"/>
        <v>0</v>
      </c>
    </row>
    <row r="68" spans="3:18" ht="20.100000000000001" customHeight="1">
      <c r="C68" s="34">
        <v>54</v>
      </c>
      <c r="D68" s="1782" t="str">
        <f>IF('3A.Occpcy&amp;Rent'!$D68="","",VLOOKUP($C68,'3A.Occpcy&amp;Rent'!$C$15:$L$414,2,FALSE))</f>
        <v/>
      </c>
      <c r="E68" s="1783" t="str">
        <f>IF('3A.Occpcy&amp;Rent'!$D68="","",VLOOKUP($C68,'3A.Occpcy&amp;Rent'!$C$15:$L$414,3,FALSE))</f>
        <v/>
      </c>
      <c r="F68" s="1784" t="str">
        <f>IF('3A.Occpcy&amp;Rent'!$D68="","",VLOOKUP($C68,'3A.Occpcy&amp;Rent'!$C$15:$L$414,10,FALSE))</f>
        <v/>
      </c>
      <c r="G68" s="1785" t="str">
        <f>IF('3A.Occpcy&amp;Rent'!$D68="","",VLOOKUP($C68,'3A.Occpcy&amp;Rent'!$C$15:$L$414,5,FALSE))</f>
        <v/>
      </c>
      <c r="H68" s="1727"/>
      <c r="I68" s="1727"/>
      <c r="J68" s="1727"/>
      <c r="K68" s="1727"/>
      <c r="L68" s="1727"/>
      <c r="M68" s="1469"/>
      <c r="N68" s="1729"/>
      <c r="P68" s="1597">
        <f t="shared" si="0"/>
        <v>1</v>
      </c>
      <c r="Q68" s="1597">
        <f t="shared" si="2"/>
        <v>1</v>
      </c>
      <c r="R68">
        <f t="shared" si="1"/>
        <v>0</v>
      </c>
    </row>
    <row r="69" spans="3:18" ht="20.100000000000001" customHeight="1">
      <c r="C69" s="34">
        <v>55</v>
      </c>
      <c r="D69" s="1782" t="str">
        <f>IF('3A.Occpcy&amp;Rent'!$D69="","",VLOOKUP($C69,'3A.Occpcy&amp;Rent'!$C$15:$L$414,2,FALSE))</f>
        <v/>
      </c>
      <c r="E69" s="1783" t="str">
        <f>IF('3A.Occpcy&amp;Rent'!$D69="","",VLOOKUP($C69,'3A.Occpcy&amp;Rent'!$C$15:$L$414,3,FALSE))</f>
        <v/>
      </c>
      <c r="F69" s="1784" t="str">
        <f>IF('3A.Occpcy&amp;Rent'!$D69="","",VLOOKUP($C69,'3A.Occpcy&amp;Rent'!$C$15:$L$414,10,FALSE))</f>
        <v/>
      </c>
      <c r="G69" s="1785" t="str">
        <f>IF('3A.Occpcy&amp;Rent'!$D69="","",VLOOKUP($C69,'3A.Occpcy&amp;Rent'!$C$15:$L$414,5,FALSE))</f>
        <v/>
      </c>
      <c r="H69" s="1727"/>
      <c r="I69" s="1727"/>
      <c r="J69" s="1727"/>
      <c r="K69" s="1727"/>
      <c r="L69" s="1727"/>
      <c r="M69" s="1469"/>
      <c r="N69" s="1729"/>
      <c r="P69" s="1597">
        <f t="shared" si="0"/>
        <v>1</v>
      </c>
      <c r="Q69" s="1597">
        <f t="shared" si="2"/>
        <v>1</v>
      </c>
      <c r="R69">
        <f t="shared" si="1"/>
        <v>0</v>
      </c>
    </row>
    <row r="70" spans="3:18" ht="20.100000000000001" customHeight="1">
      <c r="C70" s="34">
        <v>56</v>
      </c>
      <c r="D70" s="1782" t="str">
        <f>IF('3A.Occpcy&amp;Rent'!$D70="","",VLOOKUP($C70,'3A.Occpcy&amp;Rent'!$C$15:$L$414,2,FALSE))</f>
        <v/>
      </c>
      <c r="E70" s="1783" t="str">
        <f>IF('3A.Occpcy&amp;Rent'!$D70="","",VLOOKUP($C70,'3A.Occpcy&amp;Rent'!$C$15:$L$414,3,FALSE))</f>
        <v/>
      </c>
      <c r="F70" s="1784" t="str">
        <f>IF('3A.Occpcy&amp;Rent'!$D70="","",VLOOKUP($C70,'3A.Occpcy&amp;Rent'!$C$15:$L$414,10,FALSE))</f>
        <v/>
      </c>
      <c r="G70" s="1785" t="str">
        <f>IF('3A.Occpcy&amp;Rent'!$D70="","",VLOOKUP($C70,'3A.Occpcy&amp;Rent'!$C$15:$L$414,5,FALSE))</f>
        <v/>
      </c>
      <c r="H70" s="1727"/>
      <c r="I70" s="1727"/>
      <c r="J70" s="1727"/>
      <c r="K70" s="1727"/>
      <c r="L70" s="1727"/>
      <c r="M70" s="1469"/>
      <c r="N70" s="1729"/>
      <c r="P70" s="1597">
        <f t="shared" si="0"/>
        <v>1</v>
      </c>
      <c r="Q70" s="1597">
        <f t="shared" si="2"/>
        <v>1</v>
      </c>
      <c r="R70">
        <f t="shared" si="1"/>
        <v>0</v>
      </c>
    </row>
    <row r="71" spans="3:18" ht="20.100000000000001" customHeight="1">
      <c r="C71" s="34">
        <v>57</v>
      </c>
      <c r="D71" s="1782" t="str">
        <f>IF('3A.Occpcy&amp;Rent'!$D71="","",VLOOKUP($C71,'3A.Occpcy&amp;Rent'!$C$15:$L$414,2,FALSE))</f>
        <v/>
      </c>
      <c r="E71" s="1783" t="str">
        <f>IF('3A.Occpcy&amp;Rent'!$D71="","",VLOOKUP($C71,'3A.Occpcy&amp;Rent'!$C$15:$L$414,3,FALSE))</f>
        <v/>
      </c>
      <c r="F71" s="1784" t="str">
        <f>IF('3A.Occpcy&amp;Rent'!$D71="","",VLOOKUP($C71,'3A.Occpcy&amp;Rent'!$C$15:$L$414,10,FALSE))</f>
        <v/>
      </c>
      <c r="G71" s="1785" t="str">
        <f>IF('3A.Occpcy&amp;Rent'!$D71="","",VLOOKUP($C71,'3A.Occpcy&amp;Rent'!$C$15:$L$414,5,FALSE))</f>
        <v/>
      </c>
      <c r="H71" s="1727"/>
      <c r="I71" s="1727"/>
      <c r="J71" s="1727"/>
      <c r="K71" s="1727"/>
      <c r="L71" s="1727"/>
      <c r="M71" s="1469"/>
      <c r="N71" s="1729"/>
      <c r="P71" s="1597">
        <f t="shared" si="0"/>
        <v>1</v>
      </c>
      <c r="Q71" s="1597">
        <f t="shared" si="2"/>
        <v>1</v>
      </c>
      <c r="R71">
        <f t="shared" si="1"/>
        <v>0</v>
      </c>
    </row>
    <row r="72" spans="3:18" ht="20.100000000000001" customHeight="1">
      <c r="C72" s="34">
        <v>58</v>
      </c>
      <c r="D72" s="1782" t="str">
        <f>IF('3A.Occpcy&amp;Rent'!$D72="","",VLOOKUP($C72,'3A.Occpcy&amp;Rent'!$C$15:$L$414,2,FALSE))</f>
        <v/>
      </c>
      <c r="E72" s="1783" t="str">
        <f>IF('3A.Occpcy&amp;Rent'!$D72="","",VLOOKUP($C72,'3A.Occpcy&amp;Rent'!$C$15:$L$414,3,FALSE))</f>
        <v/>
      </c>
      <c r="F72" s="1784" t="str">
        <f>IF('3A.Occpcy&amp;Rent'!$D72="","",VLOOKUP($C72,'3A.Occpcy&amp;Rent'!$C$15:$L$414,10,FALSE))</f>
        <v/>
      </c>
      <c r="G72" s="1785" t="str">
        <f>IF('3A.Occpcy&amp;Rent'!$D72="","",VLOOKUP($C72,'3A.Occpcy&amp;Rent'!$C$15:$L$414,5,FALSE))</f>
        <v/>
      </c>
      <c r="H72" s="1727"/>
      <c r="I72" s="1727"/>
      <c r="J72" s="1727"/>
      <c r="K72" s="1727"/>
      <c r="L72" s="1727"/>
      <c r="M72" s="1469"/>
      <c r="N72" s="1729"/>
      <c r="P72" s="1597">
        <f t="shared" si="0"/>
        <v>1</v>
      </c>
      <c r="Q72" s="1597">
        <f t="shared" si="2"/>
        <v>1</v>
      </c>
      <c r="R72">
        <f t="shared" si="1"/>
        <v>0</v>
      </c>
    </row>
    <row r="73" spans="3:18" ht="20.100000000000001" customHeight="1">
      <c r="C73" s="34">
        <v>59</v>
      </c>
      <c r="D73" s="1782" t="str">
        <f>IF('3A.Occpcy&amp;Rent'!$D73="","",VLOOKUP($C73,'3A.Occpcy&amp;Rent'!$C$15:$L$414,2,FALSE))</f>
        <v/>
      </c>
      <c r="E73" s="1783" t="str">
        <f>IF('3A.Occpcy&amp;Rent'!$D73="","",VLOOKUP($C73,'3A.Occpcy&amp;Rent'!$C$15:$L$414,3,FALSE))</f>
        <v/>
      </c>
      <c r="F73" s="1784" t="str">
        <f>IF('3A.Occpcy&amp;Rent'!$D73="","",VLOOKUP($C73,'3A.Occpcy&amp;Rent'!$C$15:$L$414,10,FALSE))</f>
        <v/>
      </c>
      <c r="G73" s="1785" t="str">
        <f>IF('3A.Occpcy&amp;Rent'!$D73="","",VLOOKUP($C73,'3A.Occpcy&amp;Rent'!$C$15:$L$414,5,FALSE))</f>
        <v/>
      </c>
      <c r="H73" s="1727"/>
      <c r="I73" s="1727"/>
      <c r="J73" s="1727"/>
      <c r="K73" s="1727"/>
      <c r="L73" s="1727"/>
      <c r="M73" s="1469"/>
      <c r="N73" s="1729"/>
      <c r="P73" s="1597">
        <f t="shared" si="0"/>
        <v>1</v>
      </c>
      <c r="Q73" s="1597">
        <f t="shared" si="2"/>
        <v>1</v>
      </c>
      <c r="R73">
        <f t="shared" si="1"/>
        <v>0</v>
      </c>
    </row>
    <row r="74" spans="3:18" ht="20.100000000000001" customHeight="1">
      <c r="C74" s="34">
        <v>60</v>
      </c>
      <c r="D74" s="1782" t="str">
        <f>IF('3A.Occpcy&amp;Rent'!$D74="","",VLOOKUP($C74,'3A.Occpcy&amp;Rent'!$C$15:$L$414,2,FALSE))</f>
        <v/>
      </c>
      <c r="E74" s="1783" t="str">
        <f>IF('3A.Occpcy&amp;Rent'!$D74="","",VLOOKUP($C74,'3A.Occpcy&amp;Rent'!$C$15:$L$414,3,FALSE))</f>
        <v/>
      </c>
      <c r="F74" s="1784" t="str">
        <f>IF('3A.Occpcy&amp;Rent'!$D74="","",VLOOKUP($C74,'3A.Occpcy&amp;Rent'!$C$15:$L$414,10,FALSE))</f>
        <v/>
      </c>
      <c r="G74" s="1785" t="str">
        <f>IF('3A.Occpcy&amp;Rent'!$D74="","",VLOOKUP($C74,'3A.Occpcy&amp;Rent'!$C$15:$L$414,5,FALSE))</f>
        <v/>
      </c>
      <c r="H74" s="1727"/>
      <c r="I74" s="1727"/>
      <c r="J74" s="1727"/>
      <c r="K74" s="1727"/>
      <c r="L74" s="1727"/>
      <c r="M74" s="1469"/>
      <c r="N74" s="1729"/>
      <c r="P74" s="1597">
        <f t="shared" si="0"/>
        <v>1</v>
      </c>
      <c r="Q74" s="1597">
        <f t="shared" si="2"/>
        <v>1</v>
      </c>
      <c r="R74">
        <f t="shared" si="1"/>
        <v>0</v>
      </c>
    </row>
    <row r="75" spans="3:18" ht="20.100000000000001" customHeight="1">
      <c r="C75" s="34">
        <v>61</v>
      </c>
      <c r="D75" s="1782" t="str">
        <f>IF('3A.Occpcy&amp;Rent'!$D75="","",VLOOKUP($C75,'3A.Occpcy&amp;Rent'!$C$15:$L$414,2,FALSE))</f>
        <v/>
      </c>
      <c r="E75" s="1783" t="str">
        <f>IF('3A.Occpcy&amp;Rent'!$D75="","",VLOOKUP($C75,'3A.Occpcy&amp;Rent'!$C$15:$L$414,3,FALSE))</f>
        <v/>
      </c>
      <c r="F75" s="1784" t="str">
        <f>IF('3A.Occpcy&amp;Rent'!$D75="","",VLOOKUP($C75,'3A.Occpcy&amp;Rent'!$C$15:$L$414,10,FALSE))</f>
        <v/>
      </c>
      <c r="G75" s="1785" t="str">
        <f>IF('3A.Occpcy&amp;Rent'!$D75="","",VLOOKUP($C75,'3A.Occpcy&amp;Rent'!$C$15:$L$414,5,FALSE))</f>
        <v/>
      </c>
      <c r="H75" s="1727"/>
      <c r="I75" s="1727"/>
      <c r="J75" s="1727"/>
      <c r="K75" s="1727"/>
      <c r="L75" s="1727"/>
      <c r="M75" s="1469"/>
      <c r="N75" s="1729"/>
      <c r="P75" s="1597">
        <f t="shared" si="0"/>
        <v>1</v>
      </c>
      <c r="Q75" s="1597">
        <f t="shared" si="2"/>
        <v>1</v>
      </c>
      <c r="R75">
        <f t="shared" si="1"/>
        <v>0</v>
      </c>
    </row>
    <row r="76" spans="3:18" ht="20.100000000000001" customHeight="1">
      <c r="C76" s="34">
        <v>62</v>
      </c>
      <c r="D76" s="1782" t="str">
        <f>IF('3A.Occpcy&amp;Rent'!$D76="","",VLOOKUP($C76,'3A.Occpcy&amp;Rent'!$C$15:$L$414,2,FALSE))</f>
        <v/>
      </c>
      <c r="E76" s="1783" t="str">
        <f>IF('3A.Occpcy&amp;Rent'!$D76="","",VLOOKUP($C76,'3A.Occpcy&amp;Rent'!$C$15:$L$414,3,FALSE))</f>
        <v/>
      </c>
      <c r="F76" s="1784" t="str">
        <f>IF('3A.Occpcy&amp;Rent'!$D76="","",VLOOKUP($C76,'3A.Occpcy&amp;Rent'!$C$15:$L$414,10,FALSE))</f>
        <v/>
      </c>
      <c r="G76" s="1785" t="str">
        <f>IF('3A.Occpcy&amp;Rent'!$D76="","",VLOOKUP($C76,'3A.Occpcy&amp;Rent'!$C$15:$L$414,5,FALSE))</f>
        <v/>
      </c>
      <c r="H76" s="1727"/>
      <c r="I76" s="1727"/>
      <c r="J76" s="1727"/>
      <c r="K76" s="1727"/>
      <c r="L76" s="1727"/>
      <c r="M76" s="1469"/>
      <c r="N76" s="1729"/>
      <c r="P76" s="1597">
        <f t="shared" si="0"/>
        <v>1</v>
      </c>
      <c r="Q76" s="1597">
        <f t="shared" si="2"/>
        <v>1</v>
      </c>
      <c r="R76">
        <f t="shared" si="1"/>
        <v>0</v>
      </c>
    </row>
    <row r="77" spans="3:18" ht="20.100000000000001" customHeight="1">
      <c r="C77" s="34">
        <v>63</v>
      </c>
      <c r="D77" s="1782" t="str">
        <f>IF('3A.Occpcy&amp;Rent'!$D77="","",VLOOKUP($C77,'3A.Occpcy&amp;Rent'!$C$15:$L$414,2,FALSE))</f>
        <v/>
      </c>
      <c r="E77" s="1783" t="str">
        <f>IF('3A.Occpcy&amp;Rent'!$D77="","",VLOOKUP($C77,'3A.Occpcy&amp;Rent'!$C$15:$L$414,3,FALSE))</f>
        <v/>
      </c>
      <c r="F77" s="1784" t="str">
        <f>IF('3A.Occpcy&amp;Rent'!$D77="","",VLOOKUP($C77,'3A.Occpcy&amp;Rent'!$C$15:$L$414,10,FALSE))</f>
        <v/>
      </c>
      <c r="G77" s="1785" t="str">
        <f>IF('3A.Occpcy&amp;Rent'!$D77="","",VLOOKUP($C77,'3A.Occpcy&amp;Rent'!$C$15:$L$414,5,FALSE))</f>
        <v/>
      </c>
      <c r="H77" s="1727"/>
      <c r="I77" s="1727"/>
      <c r="J77" s="1727"/>
      <c r="K77" s="1727"/>
      <c r="L77" s="1727"/>
      <c r="M77" s="1469"/>
      <c r="N77" s="1729"/>
      <c r="P77" s="1597">
        <f t="shared" si="0"/>
        <v>1</v>
      </c>
      <c r="Q77" s="1597">
        <f t="shared" si="2"/>
        <v>1</v>
      </c>
      <c r="R77">
        <f t="shared" si="1"/>
        <v>0</v>
      </c>
    </row>
    <row r="78" spans="3:18" ht="20.100000000000001" customHeight="1">
      <c r="C78" s="34">
        <v>64</v>
      </c>
      <c r="D78" s="1782" t="str">
        <f>IF('3A.Occpcy&amp;Rent'!$D78="","",VLOOKUP($C78,'3A.Occpcy&amp;Rent'!$C$15:$L$414,2,FALSE))</f>
        <v/>
      </c>
      <c r="E78" s="1783" t="str">
        <f>IF('3A.Occpcy&amp;Rent'!$D78="","",VLOOKUP($C78,'3A.Occpcy&amp;Rent'!$C$15:$L$414,3,FALSE))</f>
        <v/>
      </c>
      <c r="F78" s="1784" t="str">
        <f>IF('3A.Occpcy&amp;Rent'!$D78="","",VLOOKUP($C78,'3A.Occpcy&amp;Rent'!$C$15:$L$414,10,FALSE))</f>
        <v/>
      </c>
      <c r="G78" s="1785" t="str">
        <f>IF('3A.Occpcy&amp;Rent'!$D78="","",VLOOKUP($C78,'3A.Occpcy&amp;Rent'!$C$15:$L$414,5,FALSE))</f>
        <v/>
      </c>
      <c r="H78" s="1727"/>
      <c r="I78" s="1727"/>
      <c r="J78" s="1727"/>
      <c r="K78" s="1727"/>
      <c r="L78" s="1727"/>
      <c r="M78" s="1469"/>
      <c r="N78" s="1729"/>
      <c r="P78" s="1597">
        <f t="shared" si="0"/>
        <v>1</v>
      </c>
      <c r="Q78" s="1597">
        <f t="shared" si="2"/>
        <v>1</v>
      </c>
      <c r="R78">
        <f t="shared" si="1"/>
        <v>0</v>
      </c>
    </row>
    <row r="79" spans="3:18" ht="20.100000000000001" customHeight="1">
      <c r="C79" s="34">
        <v>65</v>
      </c>
      <c r="D79" s="1782" t="str">
        <f>IF('3A.Occpcy&amp;Rent'!$D79="","",VLOOKUP($C79,'3A.Occpcy&amp;Rent'!$C$15:$L$414,2,FALSE))</f>
        <v/>
      </c>
      <c r="E79" s="1783" t="str">
        <f>IF('3A.Occpcy&amp;Rent'!$D79="","",VLOOKUP($C79,'3A.Occpcy&amp;Rent'!$C$15:$L$414,3,FALSE))</f>
        <v/>
      </c>
      <c r="F79" s="1784" t="str">
        <f>IF('3A.Occpcy&amp;Rent'!$D79="","",VLOOKUP($C79,'3A.Occpcy&amp;Rent'!$C$15:$L$414,10,FALSE))</f>
        <v/>
      </c>
      <c r="G79" s="1785" t="str">
        <f>IF('3A.Occpcy&amp;Rent'!$D79="","",VLOOKUP($C79,'3A.Occpcy&amp;Rent'!$C$15:$L$414,5,FALSE))</f>
        <v/>
      </c>
      <c r="H79" s="1727"/>
      <c r="I79" s="1727"/>
      <c r="J79" s="1727"/>
      <c r="K79" s="1727"/>
      <c r="L79" s="1727"/>
      <c r="M79" s="1469"/>
      <c r="N79" s="1729"/>
      <c r="P79" s="1597">
        <f t="shared" ref="P79:P142" si="3">IF(AND(D79&lt;&gt;0,H79&lt;&gt;0,I79&lt;&gt;0),1,IF(AND(D79="",H79="",I79=""),1,0))</f>
        <v>1</v>
      </c>
      <c r="Q79" s="1597">
        <f t="shared" si="2"/>
        <v>1</v>
      </c>
      <c r="R79">
        <f t="shared" ref="R79:R142" si="4">IF(H79=$V$14,$V$14,IF(OR(AND(H79=$V$15,I79=$W$24),AND(H79=$V$16,I79=$W$24)),$W$24,IF(OR(AND(H79=$V$15,I79&lt;&gt;$W$24),AND(H79=$V$16,I79&lt;&gt;$W$24)),I79,0)))</f>
        <v>0</v>
      </c>
    </row>
    <row r="80" spans="3:18" ht="20.100000000000001" customHeight="1">
      <c r="C80" s="34">
        <v>66</v>
      </c>
      <c r="D80" s="1782" t="str">
        <f>IF('3A.Occpcy&amp;Rent'!$D80="","",VLOOKUP($C80,'3A.Occpcy&amp;Rent'!$C$15:$L$414,2,FALSE))</f>
        <v/>
      </c>
      <c r="E80" s="1783" t="str">
        <f>IF('3A.Occpcy&amp;Rent'!$D80="","",VLOOKUP($C80,'3A.Occpcy&amp;Rent'!$C$15:$L$414,3,FALSE))</f>
        <v/>
      </c>
      <c r="F80" s="1784" t="str">
        <f>IF('3A.Occpcy&amp;Rent'!$D80="","",VLOOKUP($C80,'3A.Occpcy&amp;Rent'!$C$15:$L$414,10,FALSE))</f>
        <v/>
      </c>
      <c r="G80" s="1785" t="str">
        <f>IF('3A.Occpcy&amp;Rent'!$D80="","",VLOOKUP($C80,'3A.Occpcy&amp;Rent'!$C$15:$L$414,5,FALSE))</f>
        <v/>
      </c>
      <c r="H80" s="1727"/>
      <c r="I80" s="1727"/>
      <c r="J80" s="1727"/>
      <c r="K80" s="1727"/>
      <c r="L80" s="1727"/>
      <c r="M80" s="1469"/>
      <c r="N80" s="1729"/>
      <c r="P80" s="1597">
        <f t="shared" si="3"/>
        <v>1</v>
      </c>
      <c r="Q80" s="1597">
        <f t="shared" ref="Q80:Q143" si="5">IF(AND(D80&lt;&gt;0,J80&lt;&gt;0,K80&lt;&gt;0),1,IF(AND(D80="",J80="",K80=""),1,0))</f>
        <v>1</v>
      </c>
      <c r="R80">
        <f t="shared" si="4"/>
        <v>0</v>
      </c>
    </row>
    <row r="81" spans="3:18" ht="20.100000000000001" customHeight="1">
      <c r="C81" s="34">
        <v>67</v>
      </c>
      <c r="D81" s="1782" t="str">
        <f>IF('3A.Occpcy&amp;Rent'!$D81="","",VLOOKUP($C81,'3A.Occpcy&amp;Rent'!$C$15:$L$414,2,FALSE))</f>
        <v/>
      </c>
      <c r="E81" s="1783" t="str">
        <f>IF('3A.Occpcy&amp;Rent'!$D81="","",VLOOKUP($C81,'3A.Occpcy&amp;Rent'!$C$15:$L$414,3,FALSE))</f>
        <v/>
      </c>
      <c r="F81" s="1784" t="str">
        <f>IF('3A.Occpcy&amp;Rent'!$D81="","",VLOOKUP($C81,'3A.Occpcy&amp;Rent'!$C$15:$L$414,10,FALSE))</f>
        <v/>
      </c>
      <c r="G81" s="1785" t="str">
        <f>IF('3A.Occpcy&amp;Rent'!$D81="","",VLOOKUP($C81,'3A.Occpcy&amp;Rent'!$C$15:$L$414,5,FALSE))</f>
        <v/>
      </c>
      <c r="H81" s="1727"/>
      <c r="I81" s="1727"/>
      <c r="J81" s="1727"/>
      <c r="K81" s="1727"/>
      <c r="L81" s="1727"/>
      <c r="M81" s="1469"/>
      <c r="N81" s="1729"/>
      <c r="P81" s="1597">
        <f t="shared" si="3"/>
        <v>1</v>
      </c>
      <c r="Q81" s="1597">
        <f t="shared" si="5"/>
        <v>1</v>
      </c>
      <c r="R81">
        <f t="shared" si="4"/>
        <v>0</v>
      </c>
    </row>
    <row r="82" spans="3:18" ht="20.100000000000001" customHeight="1">
      <c r="C82" s="34">
        <v>68</v>
      </c>
      <c r="D82" s="1782" t="str">
        <f>IF('3A.Occpcy&amp;Rent'!$D82="","",VLOOKUP($C82,'3A.Occpcy&amp;Rent'!$C$15:$L$414,2,FALSE))</f>
        <v/>
      </c>
      <c r="E82" s="1783" t="str">
        <f>IF('3A.Occpcy&amp;Rent'!$D82="","",VLOOKUP($C82,'3A.Occpcy&amp;Rent'!$C$15:$L$414,3,FALSE))</f>
        <v/>
      </c>
      <c r="F82" s="1784" t="str">
        <f>IF('3A.Occpcy&amp;Rent'!$D82="","",VLOOKUP($C82,'3A.Occpcy&amp;Rent'!$C$15:$L$414,10,FALSE))</f>
        <v/>
      </c>
      <c r="G82" s="1785" t="str">
        <f>IF('3A.Occpcy&amp;Rent'!$D82="","",VLOOKUP($C82,'3A.Occpcy&amp;Rent'!$C$15:$L$414,5,FALSE))</f>
        <v/>
      </c>
      <c r="H82" s="1727"/>
      <c r="I82" s="1727"/>
      <c r="J82" s="1727"/>
      <c r="K82" s="1727"/>
      <c r="L82" s="1727"/>
      <c r="M82" s="1469"/>
      <c r="N82" s="1729"/>
      <c r="P82" s="1597">
        <f t="shared" si="3"/>
        <v>1</v>
      </c>
      <c r="Q82" s="1597">
        <f t="shared" si="5"/>
        <v>1</v>
      </c>
      <c r="R82">
        <f t="shared" si="4"/>
        <v>0</v>
      </c>
    </row>
    <row r="83" spans="3:18" ht="20.100000000000001" customHeight="1">
      <c r="C83" s="34">
        <v>69</v>
      </c>
      <c r="D83" s="1782" t="str">
        <f>IF('3A.Occpcy&amp;Rent'!$D83="","",VLOOKUP($C83,'3A.Occpcy&amp;Rent'!$C$15:$L$414,2,FALSE))</f>
        <v/>
      </c>
      <c r="E83" s="1783" t="str">
        <f>IF('3A.Occpcy&amp;Rent'!$D83="","",VLOOKUP($C83,'3A.Occpcy&amp;Rent'!$C$15:$L$414,3,FALSE))</f>
        <v/>
      </c>
      <c r="F83" s="1784" t="str">
        <f>IF('3A.Occpcy&amp;Rent'!$D83="","",VLOOKUP($C83,'3A.Occpcy&amp;Rent'!$C$15:$L$414,10,FALSE))</f>
        <v/>
      </c>
      <c r="G83" s="1785" t="str">
        <f>IF('3A.Occpcy&amp;Rent'!$D83="","",VLOOKUP($C83,'3A.Occpcy&amp;Rent'!$C$15:$L$414,5,FALSE))</f>
        <v/>
      </c>
      <c r="H83" s="1727"/>
      <c r="I83" s="1727"/>
      <c r="J83" s="1727"/>
      <c r="K83" s="1727"/>
      <c r="L83" s="1727"/>
      <c r="M83" s="1469"/>
      <c r="N83" s="1729"/>
      <c r="P83" s="1597">
        <f t="shared" si="3"/>
        <v>1</v>
      </c>
      <c r="Q83" s="1597">
        <f t="shared" si="5"/>
        <v>1</v>
      </c>
      <c r="R83">
        <f t="shared" si="4"/>
        <v>0</v>
      </c>
    </row>
    <row r="84" spans="3:18" ht="20.100000000000001" customHeight="1">
      <c r="C84" s="34">
        <v>70</v>
      </c>
      <c r="D84" s="1782" t="str">
        <f>IF('3A.Occpcy&amp;Rent'!$D84="","",VLOOKUP($C84,'3A.Occpcy&amp;Rent'!$C$15:$L$414,2,FALSE))</f>
        <v/>
      </c>
      <c r="E84" s="1783" t="str">
        <f>IF('3A.Occpcy&amp;Rent'!$D84="","",VLOOKUP($C84,'3A.Occpcy&amp;Rent'!$C$15:$L$414,3,FALSE))</f>
        <v/>
      </c>
      <c r="F84" s="1784" t="str">
        <f>IF('3A.Occpcy&amp;Rent'!$D84="","",VLOOKUP($C84,'3A.Occpcy&amp;Rent'!$C$15:$L$414,10,FALSE))</f>
        <v/>
      </c>
      <c r="G84" s="1785" t="str">
        <f>IF('3A.Occpcy&amp;Rent'!$D84="","",VLOOKUP($C84,'3A.Occpcy&amp;Rent'!$C$15:$L$414,5,FALSE))</f>
        <v/>
      </c>
      <c r="H84" s="1727"/>
      <c r="I84" s="1727"/>
      <c r="J84" s="1727"/>
      <c r="K84" s="1727"/>
      <c r="L84" s="1727"/>
      <c r="M84" s="1469"/>
      <c r="N84" s="1729"/>
      <c r="P84" s="1597">
        <f t="shared" si="3"/>
        <v>1</v>
      </c>
      <c r="Q84" s="1597">
        <f t="shared" si="5"/>
        <v>1</v>
      </c>
      <c r="R84">
        <f t="shared" si="4"/>
        <v>0</v>
      </c>
    </row>
    <row r="85" spans="3:18" ht="20.100000000000001" customHeight="1">
      <c r="C85" s="34">
        <v>71</v>
      </c>
      <c r="D85" s="1782" t="str">
        <f>IF('3A.Occpcy&amp;Rent'!$D85="","",VLOOKUP($C85,'3A.Occpcy&amp;Rent'!$C$15:$L$414,2,FALSE))</f>
        <v/>
      </c>
      <c r="E85" s="1783" t="str">
        <f>IF('3A.Occpcy&amp;Rent'!$D85="","",VLOOKUP($C85,'3A.Occpcy&amp;Rent'!$C$15:$L$414,3,FALSE))</f>
        <v/>
      </c>
      <c r="F85" s="1784" t="str">
        <f>IF('3A.Occpcy&amp;Rent'!$D85="","",VLOOKUP($C85,'3A.Occpcy&amp;Rent'!$C$15:$L$414,10,FALSE))</f>
        <v/>
      </c>
      <c r="G85" s="1785" t="str">
        <f>IF('3A.Occpcy&amp;Rent'!$D85="","",VLOOKUP($C85,'3A.Occpcy&amp;Rent'!$C$15:$L$414,5,FALSE))</f>
        <v/>
      </c>
      <c r="H85" s="1727"/>
      <c r="I85" s="1727"/>
      <c r="J85" s="1727"/>
      <c r="K85" s="1727"/>
      <c r="L85" s="1727"/>
      <c r="M85" s="1469"/>
      <c r="N85" s="1729"/>
      <c r="P85" s="1597">
        <f t="shared" si="3"/>
        <v>1</v>
      </c>
      <c r="Q85" s="1597">
        <f t="shared" si="5"/>
        <v>1</v>
      </c>
      <c r="R85">
        <f t="shared" si="4"/>
        <v>0</v>
      </c>
    </row>
    <row r="86" spans="3:18" ht="20.100000000000001" customHeight="1">
      <c r="C86" s="34">
        <v>72</v>
      </c>
      <c r="D86" s="1782" t="str">
        <f>IF('3A.Occpcy&amp;Rent'!$D86="","",VLOOKUP($C86,'3A.Occpcy&amp;Rent'!$C$15:$L$414,2,FALSE))</f>
        <v/>
      </c>
      <c r="E86" s="1783" t="str">
        <f>IF('3A.Occpcy&amp;Rent'!$D86="","",VLOOKUP($C86,'3A.Occpcy&amp;Rent'!$C$15:$L$414,3,FALSE))</f>
        <v/>
      </c>
      <c r="F86" s="1784" t="str">
        <f>IF('3A.Occpcy&amp;Rent'!$D86="","",VLOOKUP($C86,'3A.Occpcy&amp;Rent'!$C$15:$L$414,10,FALSE))</f>
        <v/>
      </c>
      <c r="G86" s="1785" t="str">
        <f>IF('3A.Occpcy&amp;Rent'!$D86="","",VLOOKUP($C86,'3A.Occpcy&amp;Rent'!$C$15:$L$414,5,FALSE))</f>
        <v/>
      </c>
      <c r="H86" s="1727"/>
      <c r="I86" s="1727"/>
      <c r="J86" s="1727"/>
      <c r="K86" s="1727"/>
      <c r="L86" s="1727"/>
      <c r="M86" s="1469"/>
      <c r="N86" s="1729"/>
      <c r="P86" s="1597">
        <f t="shared" si="3"/>
        <v>1</v>
      </c>
      <c r="Q86" s="1597">
        <f t="shared" si="5"/>
        <v>1</v>
      </c>
      <c r="R86">
        <f t="shared" si="4"/>
        <v>0</v>
      </c>
    </row>
    <row r="87" spans="3:18" ht="20.100000000000001" customHeight="1">
      <c r="C87" s="34">
        <v>73</v>
      </c>
      <c r="D87" s="1782" t="str">
        <f>IF('3A.Occpcy&amp;Rent'!$D87="","",VLOOKUP($C87,'3A.Occpcy&amp;Rent'!$C$15:$L$414,2,FALSE))</f>
        <v/>
      </c>
      <c r="E87" s="1783" t="str">
        <f>IF('3A.Occpcy&amp;Rent'!$D87="","",VLOOKUP($C87,'3A.Occpcy&amp;Rent'!$C$15:$L$414,3,FALSE))</f>
        <v/>
      </c>
      <c r="F87" s="1784" t="str">
        <f>IF('3A.Occpcy&amp;Rent'!$D87="","",VLOOKUP($C87,'3A.Occpcy&amp;Rent'!$C$15:$L$414,10,FALSE))</f>
        <v/>
      </c>
      <c r="G87" s="1785" t="str">
        <f>IF('3A.Occpcy&amp;Rent'!$D87="","",VLOOKUP($C87,'3A.Occpcy&amp;Rent'!$C$15:$L$414,5,FALSE))</f>
        <v/>
      </c>
      <c r="H87" s="1727"/>
      <c r="I87" s="1727"/>
      <c r="J87" s="1727"/>
      <c r="K87" s="1727"/>
      <c r="L87" s="1727"/>
      <c r="M87" s="1469"/>
      <c r="N87" s="1729"/>
      <c r="P87" s="1597">
        <f t="shared" si="3"/>
        <v>1</v>
      </c>
      <c r="Q87" s="1597">
        <f t="shared" si="5"/>
        <v>1</v>
      </c>
      <c r="R87">
        <f t="shared" si="4"/>
        <v>0</v>
      </c>
    </row>
    <row r="88" spans="3:18" ht="20.100000000000001" customHeight="1">
      <c r="C88" s="34">
        <v>74</v>
      </c>
      <c r="D88" s="1782" t="str">
        <f>IF('3A.Occpcy&amp;Rent'!$D88="","",VLOOKUP($C88,'3A.Occpcy&amp;Rent'!$C$15:$L$414,2,FALSE))</f>
        <v/>
      </c>
      <c r="E88" s="1783" t="str">
        <f>IF('3A.Occpcy&amp;Rent'!$D88="","",VLOOKUP($C88,'3A.Occpcy&amp;Rent'!$C$15:$L$414,3,FALSE))</f>
        <v/>
      </c>
      <c r="F88" s="1784" t="str">
        <f>IF('3A.Occpcy&amp;Rent'!$D88="","",VLOOKUP($C88,'3A.Occpcy&amp;Rent'!$C$15:$L$414,10,FALSE))</f>
        <v/>
      </c>
      <c r="G88" s="1785" t="str">
        <f>IF('3A.Occpcy&amp;Rent'!$D88="","",VLOOKUP($C88,'3A.Occpcy&amp;Rent'!$C$15:$L$414,5,FALSE))</f>
        <v/>
      </c>
      <c r="H88" s="1727"/>
      <c r="I88" s="1727"/>
      <c r="J88" s="1727"/>
      <c r="K88" s="1727"/>
      <c r="L88" s="1727"/>
      <c r="M88" s="1469"/>
      <c r="N88" s="1729"/>
      <c r="P88" s="1597">
        <f t="shared" si="3"/>
        <v>1</v>
      </c>
      <c r="Q88" s="1597">
        <f t="shared" si="5"/>
        <v>1</v>
      </c>
      <c r="R88">
        <f t="shared" si="4"/>
        <v>0</v>
      </c>
    </row>
    <row r="89" spans="3:18" ht="20.100000000000001" customHeight="1">
      <c r="C89" s="34">
        <v>75</v>
      </c>
      <c r="D89" s="1782" t="str">
        <f>IF('3A.Occpcy&amp;Rent'!$D89="","",VLOOKUP($C89,'3A.Occpcy&amp;Rent'!$C$15:$L$414,2,FALSE))</f>
        <v/>
      </c>
      <c r="E89" s="1783" t="str">
        <f>IF('3A.Occpcy&amp;Rent'!$D89="","",VLOOKUP($C89,'3A.Occpcy&amp;Rent'!$C$15:$L$414,3,FALSE))</f>
        <v/>
      </c>
      <c r="F89" s="1784" t="str">
        <f>IF('3A.Occpcy&amp;Rent'!$D89="","",VLOOKUP($C89,'3A.Occpcy&amp;Rent'!$C$15:$L$414,10,FALSE))</f>
        <v/>
      </c>
      <c r="G89" s="1785" t="str">
        <f>IF('3A.Occpcy&amp;Rent'!$D89="","",VLOOKUP($C89,'3A.Occpcy&amp;Rent'!$C$15:$L$414,5,FALSE))</f>
        <v/>
      </c>
      <c r="H89" s="1727"/>
      <c r="I89" s="1727"/>
      <c r="J89" s="1727"/>
      <c r="K89" s="1727"/>
      <c r="L89" s="1727"/>
      <c r="M89" s="1469"/>
      <c r="N89" s="1729"/>
      <c r="P89" s="1597">
        <f t="shared" si="3"/>
        <v>1</v>
      </c>
      <c r="Q89" s="1597">
        <f t="shared" si="5"/>
        <v>1</v>
      </c>
      <c r="R89">
        <f t="shared" si="4"/>
        <v>0</v>
      </c>
    </row>
    <row r="90" spans="3:18" ht="20.100000000000001" customHeight="1">
      <c r="C90" s="34">
        <v>76</v>
      </c>
      <c r="D90" s="1782" t="str">
        <f>IF('3A.Occpcy&amp;Rent'!$D90="","",VLOOKUP($C90,'3A.Occpcy&amp;Rent'!$C$15:$L$414,2,FALSE))</f>
        <v/>
      </c>
      <c r="E90" s="1783" t="str">
        <f>IF('3A.Occpcy&amp;Rent'!$D90="","",VLOOKUP($C90,'3A.Occpcy&amp;Rent'!$C$15:$L$414,3,FALSE))</f>
        <v/>
      </c>
      <c r="F90" s="1784" t="str">
        <f>IF('3A.Occpcy&amp;Rent'!$D90="","",VLOOKUP($C90,'3A.Occpcy&amp;Rent'!$C$15:$L$414,10,FALSE))</f>
        <v/>
      </c>
      <c r="G90" s="1785" t="str">
        <f>IF('3A.Occpcy&amp;Rent'!$D90="","",VLOOKUP($C90,'3A.Occpcy&amp;Rent'!$C$15:$L$414,5,FALSE))</f>
        <v/>
      </c>
      <c r="H90" s="1727"/>
      <c r="I90" s="1727"/>
      <c r="J90" s="1727"/>
      <c r="K90" s="1727"/>
      <c r="L90" s="1727"/>
      <c r="M90" s="1469"/>
      <c r="N90" s="1729"/>
      <c r="P90" s="1597">
        <f t="shared" si="3"/>
        <v>1</v>
      </c>
      <c r="Q90" s="1597">
        <f t="shared" si="5"/>
        <v>1</v>
      </c>
      <c r="R90">
        <f t="shared" si="4"/>
        <v>0</v>
      </c>
    </row>
    <row r="91" spans="3:18" ht="20.100000000000001" customHeight="1">
      <c r="C91" s="34">
        <v>77</v>
      </c>
      <c r="D91" s="1782" t="str">
        <f>IF('3A.Occpcy&amp;Rent'!$D91="","",VLOOKUP($C91,'3A.Occpcy&amp;Rent'!$C$15:$L$414,2,FALSE))</f>
        <v/>
      </c>
      <c r="E91" s="1783" t="str">
        <f>IF('3A.Occpcy&amp;Rent'!$D91="","",VLOOKUP($C91,'3A.Occpcy&amp;Rent'!$C$15:$L$414,3,FALSE))</f>
        <v/>
      </c>
      <c r="F91" s="1784" t="str">
        <f>IF('3A.Occpcy&amp;Rent'!$D91="","",VLOOKUP($C91,'3A.Occpcy&amp;Rent'!$C$15:$L$414,10,FALSE))</f>
        <v/>
      </c>
      <c r="G91" s="1785" t="str">
        <f>IF('3A.Occpcy&amp;Rent'!$D91="","",VLOOKUP($C91,'3A.Occpcy&amp;Rent'!$C$15:$L$414,5,FALSE))</f>
        <v/>
      </c>
      <c r="H91" s="1727"/>
      <c r="I91" s="1727"/>
      <c r="J91" s="1727"/>
      <c r="K91" s="1727"/>
      <c r="L91" s="1727"/>
      <c r="M91" s="1469"/>
      <c r="N91" s="1729"/>
      <c r="P91" s="1597">
        <f t="shared" si="3"/>
        <v>1</v>
      </c>
      <c r="Q91" s="1597">
        <f t="shared" si="5"/>
        <v>1</v>
      </c>
      <c r="R91">
        <f t="shared" si="4"/>
        <v>0</v>
      </c>
    </row>
    <row r="92" spans="3:18" ht="20.100000000000001" customHeight="1">
      <c r="C92" s="34">
        <v>78</v>
      </c>
      <c r="D92" s="1782" t="str">
        <f>IF('3A.Occpcy&amp;Rent'!$D92="","",VLOOKUP($C92,'3A.Occpcy&amp;Rent'!$C$15:$L$414,2,FALSE))</f>
        <v/>
      </c>
      <c r="E92" s="1783" t="str">
        <f>IF('3A.Occpcy&amp;Rent'!$D92="","",VLOOKUP($C92,'3A.Occpcy&amp;Rent'!$C$15:$L$414,3,FALSE))</f>
        <v/>
      </c>
      <c r="F92" s="1784" t="str">
        <f>IF('3A.Occpcy&amp;Rent'!$D92="","",VLOOKUP($C92,'3A.Occpcy&amp;Rent'!$C$15:$L$414,10,FALSE))</f>
        <v/>
      </c>
      <c r="G92" s="1785" t="str">
        <f>IF('3A.Occpcy&amp;Rent'!$D92="","",VLOOKUP($C92,'3A.Occpcy&amp;Rent'!$C$15:$L$414,5,FALSE))</f>
        <v/>
      </c>
      <c r="H92" s="1727"/>
      <c r="I92" s="1727"/>
      <c r="J92" s="1727"/>
      <c r="K92" s="1727"/>
      <c r="L92" s="1727"/>
      <c r="M92" s="1469"/>
      <c r="N92" s="1729"/>
      <c r="P92" s="1597">
        <f t="shared" si="3"/>
        <v>1</v>
      </c>
      <c r="Q92" s="1597">
        <f t="shared" si="5"/>
        <v>1</v>
      </c>
      <c r="R92">
        <f t="shared" si="4"/>
        <v>0</v>
      </c>
    </row>
    <row r="93" spans="3:18" ht="20.100000000000001" customHeight="1">
      <c r="C93" s="34">
        <v>79</v>
      </c>
      <c r="D93" s="1782" t="str">
        <f>IF('3A.Occpcy&amp;Rent'!$D93="","",VLOOKUP($C93,'3A.Occpcy&amp;Rent'!$C$15:$L$414,2,FALSE))</f>
        <v/>
      </c>
      <c r="E93" s="1783" t="str">
        <f>IF('3A.Occpcy&amp;Rent'!$D93="","",VLOOKUP($C93,'3A.Occpcy&amp;Rent'!$C$15:$L$414,3,FALSE))</f>
        <v/>
      </c>
      <c r="F93" s="1784" t="str">
        <f>IF('3A.Occpcy&amp;Rent'!$D93="","",VLOOKUP($C93,'3A.Occpcy&amp;Rent'!$C$15:$L$414,10,FALSE))</f>
        <v/>
      </c>
      <c r="G93" s="1785" t="str">
        <f>IF('3A.Occpcy&amp;Rent'!$D93="","",VLOOKUP($C93,'3A.Occpcy&amp;Rent'!$C$15:$L$414,5,FALSE))</f>
        <v/>
      </c>
      <c r="H93" s="1727"/>
      <c r="I93" s="1727"/>
      <c r="J93" s="1727"/>
      <c r="K93" s="1727"/>
      <c r="L93" s="1727"/>
      <c r="M93" s="1469"/>
      <c r="N93" s="1729"/>
      <c r="P93" s="1597">
        <f t="shared" si="3"/>
        <v>1</v>
      </c>
      <c r="Q93" s="1597">
        <f t="shared" si="5"/>
        <v>1</v>
      </c>
      <c r="R93">
        <f t="shared" si="4"/>
        <v>0</v>
      </c>
    </row>
    <row r="94" spans="3:18" ht="20.100000000000001" customHeight="1">
      <c r="C94" s="34">
        <v>80</v>
      </c>
      <c r="D94" s="1782" t="str">
        <f>IF('3A.Occpcy&amp;Rent'!$D94="","",VLOOKUP($C94,'3A.Occpcy&amp;Rent'!$C$15:$L$414,2,FALSE))</f>
        <v/>
      </c>
      <c r="E94" s="1783" t="str">
        <f>IF('3A.Occpcy&amp;Rent'!$D94="","",VLOOKUP($C94,'3A.Occpcy&amp;Rent'!$C$15:$L$414,3,FALSE))</f>
        <v/>
      </c>
      <c r="F94" s="1784" t="str">
        <f>IF('3A.Occpcy&amp;Rent'!$D94="","",VLOOKUP($C94,'3A.Occpcy&amp;Rent'!$C$15:$L$414,10,FALSE))</f>
        <v/>
      </c>
      <c r="G94" s="1785" t="str">
        <f>IF('3A.Occpcy&amp;Rent'!$D94="","",VLOOKUP($C94,'3A.Occpcy&amp;Rent'!$C$15:$L$414,5,FALSE))</f>
        <v/>
      </c>
      <c r="H94" s="1727"/>
      <c r="I94" s="1727"/>
      <c r="J94" s="1727"/>
      <c r="K94" s="1727"/>
      <c r="L94" s="1727"/>
      <c r="M94" s="1469"/>
      <c r="N94" s="1729"/>
      <c r="P94" s="1597">
        <f t="shared" si="3"/>
        <v>1</v>
      </c>
      <c r="Q94" s="1597">
        <f t="shared" si="5"/>
        <v>1</v>
      </c>
      <c r="R94">
        <f t="shared" si="4"/>
        <v>0</v>
      </c>
    </row>
    <row r="95" spans="3:18" ht="20.100000000000001" customHeight="1">
      <c r="C95" s="34">
        <v>81</v>
      </c>
      <c r="D95" s="1782" t="str">
        <f>IF('3A.Occpcy&amp;Rent'!$D95="","",VLOOKUP($C95,'3A.Occpcy&amp;Rent'!$C$15:$L$414,2,FALSE))</f>
        <v/>
      </c>
      <c r="E95" s="1783" t="str">
        <f>IF('3A.Occpcy&amp;Rent'!$D95="","",VLOOKUP($C95,'3A.Occpcy&amp;Rent'!$C$15:$L$414,3,FALSE))</f>
        <v/>
      </c>
      <c r="F95" s="1784" t="str">
        <f>IF('3A.Occpcy&amp;Rent'!$D95="","",VLOOKUP($C95,'3A.Occpcy&amp;Rent'!$C$15:$L$414,10,FALSE))</f>
        <v/>
      </c>
      <c r="G95" s="1785" t="str">
        <f>IF('3A.Occpcy&amp;Rent'!$D95="","",VLOOKUP($C95,'3A.Occpcy&amp;Rent'!$C$15:$L$414,5,FALSE))</f>
        <v/>
      </c>
      <c r="H95" s="1727"/>
      <c r="I95" s="1727"/>
      <c r="J95" s="1727"/>
      <c r="K95" s="1727"/>
      <c r="L95" s="1727"/>
      <c r="M95" s="1469"/>
      <c r="N95" s="1729"/>
      <c r="P95" s="1597">
        <f t="shared" si="3"/>
        <v>1</v>
      </c>
      <c r="Q95" s="1597">
        <f t="shared" si="5"/>
        <v>1</v>
      </c>
      <c r="R95">
        <f t="shared" si="4"/>
        <v>0</v>
      </c>
    </row>
    <row r="96" spans="3:18" ht="20.100000000000001" customHeight="1">
      <c r="C96" s="34">
        <v>82</v>
      </c>
      <c r="D96" s="1782" t="str">
        <f>IF('3A.Occpcy&amp;Rent'!$D96="","",VLOOKUP($C96,'3A.Occpcy&amp;Rent'!$C$15:$L$414,2,FALSE))</f>
        <v/>
      </c>
      <c r="E96" s="1783" t="str">
        <f>IF('3A.Occpcy&amp;Rent'!$D96="","",VLOOKUP($C96,'3A.Occpcy&amp;Rent'!$C$15:$L$414,3,FALSE))</f>
        <v/>
      </c>
      <c r="F96" s="1784" t="str">
        <f>IF('3A.Occpcy&amp;Rent'!$D96="","",VLOOKUP($C96,'3A.Occpcy&amp;Rent'!$C$15:$L$414,10,FALSE))</f>
        <v/>
      </c>
      <c r="G96" s="1785" t="str">
        <f>IF('3A.Occpcy&amp;Rent'!$D96="","",VLOOKUP($C96,'3A.Occpcy&amp;Rent'!$C$15:$L$414,5,FALSE))</f>
        <v/>
      </c>
      <c r="H96" s="1727"/>
      <c r="I96" s="1727"/>
      <c r="J96" s="1727"/>
      <c r="K96" s="1727"/>
      <c r="L96" s="1727"/>
      <c r="M96" s="1469"/>
      <c r="N96" s="1729"/>
      <c r="P96" s="1597">
        <f t="shared" si="3"/>
        <v>1</v>
      </c>
      <c r="Q96" s="1597">
        <f t="shared" si="5"/>
        <v>1</v>
      </c>
      <c r="R96">
        <f t="shared" si="4"/>
        <v>0</v>
      </c>
    </row>
    <row r="97" spans="3:18" ht="20.100000000000001" customHeight="1">
      <c r="C97" s="34">
        <v>83</v>
      </c>
      <c r="D97" s="1782" t="str">
        <f>IF('3A.Occpcy&amp;Rent'!$D97="","",VLOOKUP($C97,'3A.Occpcy&amp;Rent'!$C$15:$L$414,2,FALSE))</f>
        <v/>
      </c>
      <c r="E97" s="1783" t="str">
        <f>IF('3A.Occpcy&amp;Rent'!$D97="","",VLOOKUP($C97,'3A.Occpcy&amp;Rent'!$C$15:$L$414,3,FALSE))</f>
        <v/>
      </c>
      <c r="F97" s="1784" t="str">
        <f>IF('3A.Occpcy&amp;Rent'!$D97="","",VLOOKUP($C97,'3A.Occpcy&amp;Rent'!$C$15:$L$414,10,FALSE))</f>
        <v/>
      </c>
      <c r="G97" s="1785" t="str">
        <f>IF('3A.Occpcy&amp;Rent'!$D97="","",VLOOKUP($C97,'3A.Occpcy&amp;Rent'!$C$15:$L$414,5,FALSE))</f>
        <v/>
      </c>
      <c r="H97" s="1727"/>
      <c r="I97" s="1727"/>
      <c r="J97" s="1727"/>
      <c r="K97" s="1727"/>
      <c r="L97" s="1727"/>
      <c r="M97" s="1469"/>
      <c r="N97" s="1729"/>
      <c r="P97" s="1597">
        <f t="shared" si="3"/>
        <v>1</v>
      </c>
      <c r="Q97" s="1597">
        <f t="shared" si="5"/>
        <v>1</v>
      </c>
      <c r="R97">
        <f t="shared" si="4"/>
        <v>0</v>
      </c>
    </row>
    <row r="98" spans="3:18" ht="20.100000000000001" customHeight="1">
      <c r="C98" s="34">
        <v>84</v>
      </c>
      <c r="D98" s="1782" t="str">
        <f>IF('3A.Occpcy&amp;Rent'!$D98="","",VLOOKUP($C98,'3A.Occpcy&amp;Rent'!$C$15:$L$414,2,FALSE))</f>
        <v/>
      </c>
      <c r="E98" s="1783" t="str">
        <f>IF('3A.Occpcy&amp;Rent'!$D98="","",VLOOKUP($C98,'3A.Occpcy&amp;Rent'!$C$15:$L$414,3,FALSE))</f>
        <v/>
      </c>
      <c r="F98" s="1784" t="str">
        <f>IF('3A.Occpcy&amp;Rent'!$D98="","",VLOOKUP($C98,'3A.Occpcy&amp;Rent'!$C$15:$L$414,10,FALSE))</f>
        <v/>
      </c>
      <c r="G98" s="1785" t="str">
        <f>IF('3A.Occpcy&amp;Rent'!$D98="","",VLOOKUP($C98,'3A.Occpcy&amp;Rent'!$C$15:$L$414,5,FALSE))</f>
        <v/>
      </c>
      <c r="H98" s="1727"/>
      <c r="I98" s="1727"/>
      <c r="J98" s="1727"/>
      <c r="K98" s="1727"/>
      <c r="L98" s="1727"/>
      <c r="M98" s="1469"/>
      <c r="N98" s="1729"/>
      <c r="P98" s="1597">
        <f t="shared" si="3"/>
        <v>1</v>
      </c>
      <c r="Q98" s="1597">
        <f t="shared" si="5"/>
        <v>1</v>
      </c>
      <c r="R98">
        <f t="shared" si="4"/>
        <v>0</v>
      </c>
    </row>
    <row r="99" spans="3:18" ht="20.100000000000001" customHeight="1">
      <c r="C99" s="34">
        <v>85</v>
      </c>
      <c r="D99" s="1782" t="str">
        <f>IF('3A.Occpcy&amp;Rent'!$D99="","",VLOOKUP($C99,'3A.Occpcy&amp;Rent'!$C$15:$L$414,2,FALSE))</f>
        <v/>
      </c>
      <c r="E99" s="1783" t="str">
        <f>IF('3A.Occpcy&amp;Rent'!$D99="","",VLOOKUP($C99,'3A.Occpcy&amp;Rent'!$C$15:$L$414,3,FALSE))</f>
        <v/>
      </c>
      <c r="F99" s="1784" t="str">
        <f>IF('3A.Occpcy&amp;Rent'!$D99="","",VLOOKUP($C99,'3A.Occpcy&amp;Rent'!$C$15:$L$414,10,FALSE))</f>
        <v/>
      </c>
      <c r="G99" s="1785" t="str">
        <f>IF('3A.Occpcy&amp;Rent'!$D99="","",VLOOKUP($C99,'3A.Occpcy&amp;Rent'!$C$15:$L$414,5,FALSE))</f>
        <v/>
      </c>
      <c r="H99" s="1727"/>
      <c r="I99" s="1727"/>
      <c r="J99" s="1727"/>
      <c r="K99" s="1727"/>
      <c r="L99" s="1727"/>
      <c r="M99" s="1469"/>
      <c r="N99" s="1729"/>
      <c r="P99" s="1597">
        <f t="shared" si="3"/>
        <v>1</v>
      </c>
      <c r="Q99" s="1597">
        <f t="shared" si="5"/>
        <v>1</v>
      </c>
      <c r="R99">
        <f t="shared" si="4"/>
        <v>0</v>
      </c>
    </row>
    <row r="100" spans="3:18" ht="20.100000000000001" customHeight="1">
      <c r="C100" s="34">
        <v>86</v>
      </c>
      <c r="D100" s="1782" t="str">
        <f>IF('3A.Occpcy&amp;Rent'!$D100="","",VLOOKUP($C100,'3A.Occpcy&amp;Rent'!$C$15:$L$414,2,FALSE))</f>
        <v/>
      </c>
      <c r="E100" s="1783" t="str">
        <f>IF('3A.Occpcy&amp;Rent'!$D100="","",VLOOKUP($C100,'3A.Occpcy&amp;Rent'!$C$15:$L$414,3,FALSE))</f>
        <v/>
      </c>
      <c r="F100" s="1784" t="str">
        <f>IF('3A.Occpcy&amp;Rent'!$D100="","",VLOOKUP($C100,'3A.Occpcy&amp;Rent'!$C$15:$L$414,10,FALSE))</f>
        <v/>
      </c>
      <c r="G100" s="1785" t="str">
        <f>IF('3A.Occpcy&amp;Rent'!$D100="","",VLOOKUP($C100,'3A.Occpcy&amp;Rent'!$C$15:$L$414,5,FALSE))</f>
        <v/>
      </c>
      <c r="H100" s="1727"/>
      <c r="I100" s="1727"/>
      <c r="J100" s="1727"/>
      <c r="K100" s="1727"/>
      <c r="L100" s="1727"/>
      <c r="M100" s="1469"/>
      <c r="N100" s="1729"/>
      <c r="P100" s="1597">
        <f t="shared" si="3"/>
        <v>1</v>
      </c>
      <c r="Q100" s="1597">
        <f t="shared" si="5"/>
        <v>1</v>
      </c>
      <c r="R100">
        <f t="shared" si="4"/>
        <v>0</v>
      </c>
    </row>
    <row r="101" spans="3:18" ht="20.100000000000001" customHeight="1">
      <c r="C101" s="34">
        <v>87</v>
      </c>
      <c r="D101" s="1782" t="str">
        <f>IF('3A.Occpcy&amp;Rent'!$D101="","",VLOOKUP($C101,'3A.Occpcy&amp;Rent'!$C$15:$L$414,2,FALSE))</f>
        <v/>
      </c>
      <c r="E101" s="1783" t="str">
        <f>IF('3A.Occpcy&amp;Rent'!$D101="","",VLOOKUP($C101,'3A.Occpcy&amp;Rent'!$C$15:$L$414,3,FALSE))</f>
        <v/>
      </c>
      <c r="F101" s="1784" t="str">
        <f>IF('3A.Occpcy&amp;Rent'!$D101="","",VLOOKUP($C101,'3A.Occpcy&amp;Rent'!$C$15:$L$414,10,FALSE))</f>
        <v/>
      </c>
      <c r="G101" s="1785" t="str">
        <f>IF('3A.Occpcy&amp;Rent'!$D101="","",VLOOKUP($C101,'3A.Occpcy&amp;Rent'!$C$15:$L$414,5,FALSE))</f>
        <v/>
      </c>
      <c r="H101" s="1727"/>
      <c r="I101" s="1727"/>
      <c r="J101" s="1727"/>
      <c r="K101" s="1727"/>
      <c r="L101" s="1727"/>
      <c r="M101" s="1469"/>
      <c r="N101" s="1729"/>
      <c r="P101" s="1597">
        <f t="shared" si="3"/>
        <v>1</v>
      </c>
      <c r="Q101" s="1597">
        <f t="shared" si="5"/>
        <v>1</v>
      </c>
      <c r="R101">
        <f t="shared" si="4"/>
        <v>0</v>
      </c>
    </row>
    <row r="102" spans="3:18" ht="20.100000000000001" customHeight="1">
      <c r="C102" s="34">
        <v>88</v>
      </c>
      <c r="D102" s="1782" t="str">
        <f>IF('3A.Occpcy&amp;Rent'!$D102="","",VLOOKUP($C102,'3A.Occpcy&amp;Rent'!$C$15:$L$414,2,FALSE))</f>
        <v/>
      </c>
      <c r="E102" s="1783" t="str">
        <f>IF('3A.Occpcy&amp;Rent'!$D102="","",VLOOKUP($C102,'3A.Occpcy&amp;Rent'!$C$15:$L$414,3,FALSE))</f>
        <v/>
      </c>
      <c r="F102" s="1784" t="str">
        <f>IF('3A.Occpcy&amp;Rent'!$D102="","",VLOOKUP($C102,'3A.Occpcy&amp;Rent'!$C$15:$L$414,10,FALSE))</f>
        <v/>
      </c>
      <c r="G102" s="1785" t="str">
        <f>IF('3A.Occpcy&amp;Rent'!$D102="","",VLOOKUP($C102,'3A.Occpcy&amp;Rent'!$C$15:$L$414,5,FALSE))</f>
        <v/>
      </c>
      <c r="H102" s="1727"/>
      <c r="I102" s="1727"/>
      <c r="J102" s="1727"/>
      <c r="K102" s="1727"/>
      <c r="L102" s="1727"/>
      <c r="M102" s="1469"/>
      <c r="N102" s="1729"/>
      <c r="P102" s="1597">
        <f t="shared" si="3"/>
        <v>1</v>
      </c>
      <c r="Q102" s="1597">
        <f t="shared" si="5"/>
        <v>1</v>
      </c>
      <c r="R102">
        <f t="shared" si="4"/>
        <v>0</v>
      </c>
    </row>
    <row r="103" spans="3:18" ht="20.100000000000001" customHeight="1">
      <c r="C103" s="34">
        <v>89</v>
      </c>
      <c r="D103" s="1782" t="str">
        <f>IF('3A.Occpcy&amp;Rent'!$D103="","",VLOOKUP($C103,'3A.Occpcy&amp;Rent'!$C$15:$L$414,2,FALSE))</f>
        <v/>
      </c>
      <c r="E103" s="1783" t="str">
        <f>IF('3A.Occpcy&amp;Rent'!$D103="","",VLOOKUP($C103,'3A.Occpcy&amp;Rent'!$C$15:$L$414,3,FALSE))</f>
        <v/>
      </c>
      <c r="F103" s="1784" t="str">
        <f>IF('3A.Occpcy&amp;Rent'!$D103="","",VLOOKUP($C103,'3A.Occpcy&amp;Rent'!$C$15:$L$414,10,FALSE))</f>
        <v/>
      </c>
      <c r="G103" s="1785" t="str">
        <f>IF('3A.Occpcy&amp;Rent'!$D103="","",VLOOKUP($C103,'3A.Occpcy&amp;Rent'!$C$15:$L$414,5,FALSE))</f>
        <v/>
      </c>
      <c r="H103" s="1727"/>
      <c r="I103" s="1727"/>
      <c r="J103" s="1727"/>
      <c r="K103" s="1727"/>
      <c r="L103" s="1727"/>
      <c r="M103" s="1469"/>
      <c r="N103" s="1729"/>
      <c r="P103" s="1597">
        <f t="shared" si="3"/>
        <v>1</v>
      </c>
      <c r="Q103" s="1597">
        <f t="shared" si="5"/>
        <v>1</v>
      </c>
      <c r="R103">
        <f t="shared" si="4"/>
        <v>0</v>
      </c>
    </row>
    <row r="104" spans="3:18" ht="20.100000000000001" customHeight="1">
      <c r="C104" s="34">
        <v>90</v>
      </c>
      <c r="D104" s="1782" t="str">
        <f>IF('3A.Occpcy&amp;Rent'!$D104="","",VLOOKUP($C104,'3A.Occpcy&amp;Rent'!$C$15:$L$414,2,FALSE))</f>
        <v/>
      </c>
      <c r="E104" s="1783" t="str">
        <f>IF('3A.Occpcy&amp;Rent'!$D104="","",VLOOKUP($C104,'3A.Occpcy&amp;Rent'!$C$15:$L$414,3,FALSE))</f>
        <v/>
      </c>
      <c r="F104" s="1784" t="str">
        <f>IF('3A.Occpcy&amp;Rent'!$D104="","",VLOOKUP($C104,'3A.Occpcy&amp;Rent'!$C$15:$L$414,10,FALSE))</f>
        <v/>
      </c>
      <c r="G104" s="1785" t="str">
        <f>IF('3A.Occpcy&amp;Rent'!$D104="","",VLOOKUP($C104,'3A.Occpcy&amp;Rent'!$C$15:$L$414,5,FALSE))</f>
        <v/>
      </c>
      <c r="H104" s="1727"/>
      <c r="I104" s="1727"/>
      <c r="J104" s="1727"/>
      <c r="K104" s="1727"/>
      <c r="L104" s="1727"/>
      <c r="M104" s="1469"/>
      <c r="N104" s="1729"/>
      <c r="P104" s="1597">
        <f t="shared" si="3"/>
        <v>1</v>
      </c>
      <c r="Q104" s="1597">
        <f t="shared" si="5"/>
        <v>1</v>
      </c>
      <c r="R104">
        <f t="shared" si="4"/>
        <v>0</v>
      </c>
    </row>
    <row r="105" spans="3:18" ht="20.100000000000001" customHeight="1">
      <c r="C105" s="34">
        <v>91</v>
      </c>
      <c r="D105" s="1782" t="str">
        <f>IF('3A.Occpcy&amp;Rent'!$D105="","",VLOOKUP($C105,'3A.Occpcy&amp;Rent'!$C$15:$L$414,2,FALSE))</f>
        <v/>
      </c>
      <c r="E105" s="1783" t="str">
        <f>IF('3A.Occpcy&amp;Rent'!$D105="","",VLOOKUP($C105,'3A.Occpcy&amp;Rent'!$C$15:$L$414,3,FALSE))</f>
        <v/>
      </c>
      <c r="F105" s="1784" t="str">
        <f>IF('3A.Occpcy&amp;Rent'!$D105="","",VLOOKUP($C105,'3A.Occpcy&amp;Rent'!$C$15:$L$414,10,FALSE))</f>
        <v/>
      </c>
      <c r="G105" s="1785" t="str">
        <f>IF('3A.Occpcy&amp;Rent'!$D105="","",VLOOKUP($C105,'3A.Occpcy&amp;Rent'!$C$15:$L$414,5,FALSE))</f>
        <v/>
      </c>
      <c r="H105" s="1727"/>
      <c r="I105" s="1727"/>
      <c r="J105" s="1727"/>
      <c r="K105" s="1727"/>
      <c r="L105" s="1727"/>
      <c r="M105" s="1469"/>
      <c r="N105" s="1729"/>
      <c r="P105" s="1597">
        <f t="shared" si="3"/>
        <v>1</v>
      </c>
      <c r="Q105" s="1597">
        <f t="shared" si="5"/>
        <v>1</v>
      </c>
      <c r="R105">
        <f t="shared" si="4"/>
        <v>0</v>
      </c>
    </row>
    <row r="106" spans="3:18" ht="20.100000000000001" customHeight="1">
      <c r="C106" s="34">
        <v>92</v>
      </c>
      <c r="D106" s="1782" t="str">
        <f>IF('3A.Occpcy&amp;Rent'!$D106="","",VLOOKUP($C106,'3A.Occpcy&amp;Rent'!$C$15:$L$414,2,FALSE))</f>
        <v/>
      </c>
      <c r="E106" s="1783" t="str">
        <f>IF('3A.Occpcy&amp;Rent'!$D106="","",VLOOKUP($C106,'3A.Occpcy&amp;Rent'!$C$15:$L$414,3,FALSE))</f>
        <v/>
      </c>
      <c r="F106" s="1784" t="str">
        <f>IF('3A.Occpcy&amp;Rent'!$D106="","",VLOOKUP($C106,'3A.Occpcy&amp;Rent'!$C$15:$L$414,10,FALSE))</f>
        <v/>
      </c>
      <c r="G106" s="1785" t="str">
        <f>IF('3A.Occpcy&amp;Rent'!$D106="","",VLOOKUP($C106,'3A.Occpcy&amp;Rent'!$C$15:$L$414,5,FALSE))</f>
        <v/>
      </c>
      <c r="H106" s="1727"/>
      <c r="I106" s="1727"/>
      <c r="J106" s="1727"/>
      <c r="K106" s="1727"/>
      <c r="L106" s="1727"/>
      <c r="M106" s="1469"/>
      <c r="N106" s="1729"/>
      <c r="P106" s="1597">
        <f t="shared" si="3"/>
        <v>1</v>
      </c>
      <c r="Q106" s="1597">
        <f t="shared" si="5"/>
        <v>1</v>
      </c>
      <c r="R106">
        <f t="shared" si="4"/>
        <v>0</v>
      </c>
    </row>
    <row r="107" spans="3:18" ht="20.100000000000001" customHeight="1">
      <c r="C107" s="34">
        <v>93</v>
      </c>
      <c r="D107" s="1782" t="str">
        <f>IF('3A.Occpcy&amp;Rent'!$D107="","",VLOOKUP($C107,'3A.Occpcy&amp;Rent'!$C$15:$L$414,2,FALSE))</f>
        <v/>
      </c>
      <c r="E107" s="1783" t="str">
        <f>IF('3A.Occpcy&amp;Rent'!$D107="","",VLOOKUP($C107,'3A.Occpcy&amp;Rent'!$C$15:$L$414,3,FALSE))</f>
        <v/>
      </c>
      <c r="F107" s="1784" t="str">
        <f>IF('3A.Occpcy&amp;Rent'!$D107="","",VLOOKUP($C107,'3A.Occpcy&amp;Rent'!$C$15:$L$414,10,FALSE))</f>
        <v/>
      </c>
      <c r="G107" s="1785" t="str">
        <f>IF('3A.Occpcy&amp;Rent'!$D107="","",VLOOKUP($C107,'3A.Occpcy&amp;Rent'!$C$15:$L$414,5,FALSE))</f>
        <v/>
      </c>
      <c r="H107" s="1727"/>
      <c r="I107" s="1727"/>
      <c r="J107" s="1727"/>
      <c r="K107" s="1727"/>
      <c r="L107" s="1727"/>
      <c r="M107" s="1469"/>
      <c r="N107" s="1729"/>
      <c r="P107" s="1597">
        <f t="shared" si="3"/>
        <v>1</v>
      </c>
      <c r="Q107" s="1597">
        <f t="shared" si="5"/>
        <v>1</v>
      </c>
      <c r="R107">
        <f t="shared" si="4"/>
        <v>0</v>
      </c>
    </row>
    <row r="108" spans="3:18" ht="20.100000000000001" customHeight="1">
      <c r="C108" s="34">
        <v>94</v>
      </c>
      <c r="D108" s="1782" t="str">
        <f>IF('3A.Occpcy&amp;Rent'!$D108="","",VLOOKUP($C108,'3A.Occpcy&amp;Rent'!$C$15:$L$414,2,FALSE))</f>
        <v/>
      </c>
      <c r="E108" s="1783" t="str">
        <f>IF('3A.Occpcy&amp;Rent'!$D108="","",VLOOKUP($C108,'3A.Occpcy&amp;Rent'!$C$15:$L$414,3,FALSE))</f>
        <v/>
      </c>
      <c r="F108" s="1784" t="str">
        <f>IF('3A.Occpcy&amp;Rent'!$D108="","",VLOOKUP($C108,'3A.Occpcy&amp;Rent'!$C$15:$L$414,10,FALSE))</f>
        <v/>
      </c>
      <c r="G108" s="1785" t="str">
        <f>IF('3A.Occpcy&amp;Rent'!$D108="","",VLOOKUP($C108,'3A.Occpcy&amp;Rent'!$C$15:$L$414,5,FALSE))</f>
        <v/>
      </c>
      <c r="H108" s="1727"/>
      <c r="I108" s="1727"/>
      <c r="J108" s="1727"/>
      <c r="K108" s="1727"/>
      <c r="L108" s="1727"/>
      <c r="M108" s="1469"/>
      <c r="N108" s="1729"/>
      <c r="P108" s="1597">
        <f t="shared" si="3"/>
        <v>1</v>
      </c>
      <c r="Q108" s="1597">
        <f t="shared" si="5"/>
        <v>1</v>
      </c>
      <c r="R108">
        <f t="shared" si="4"/>
        <v>0</v>
      </c>
    </row>
    <row r="109" spans="3:18" ht="20.100000000000001" customHeight="1">
      <c r="C109" s="34">
        <v>95</v>
      </c>
      <c r="D109" s="1782" t="str">
        <f>IF('3A.Occpcy&amp;Rent'!$D109="","",VLOOKUP($C109,'3A.Occpcy&amp;Rent'!$C$15:$L$414,2,FALSE))</f>
        <v/>
      </c>
      <c r="E109" s="1783" t="str">
        <f>IF('3A.Occpcy&amp;Rent'!$D109="","",VLOOKUP($C109,'3A.Occpcy&amp;Rent'!$C$15:$L$414,3,FALSE))</f>
        <v/>
      </c>
      <c r="F109" s="1784" t="str">
        <f>IF('3A.Occpcy&amp;Rent'!$D109="","",VLOOKUP($C109,'3A.Occpcy&amp;Rent'!$C$15:$L$414,10,FALSE))</f>
        <v/>
      </c>
      <c r="G109" s="1785" t="str">
        <f>IF('3A.Occpcy&amp;Rent'!$D109="","",VLOOKUP($C109,'3A.Occpcy&amp;Rent'!$C$15:$L$414,5,FALSE))</f>
        <v/>
      </c>
      <c r="H109" s="1727"/>
      <c r="I109" s="1727"/>
      <c r="J109" s="1727"/>
      <c r="K109" s="1727"/>
      <c r="L109" s="1727"/>
      <c r="M109" s="1469"/>
      <c r="N109" s="1729"/>
      <c r="P109" s="1597">
        <f t="shared" si="3"/>
        <v>1</v>
      </c>
      <c r="Q109" s="1597">
        <f t="shared" si="5"/>
        <v>1</v>
      </c>
      <c r="R109">
        <f t="shared" si="4"/>
        <v>0</v>
      </c>
    </row>
    <row r="110" spans="3:18" ht="20.100000000000001" customHeight="1">
      <c r="C110" s="34">
        <v>96</v>
      </c>
      <c r="D110" s="1782" t="str">
        <f>IF('3A.Occpcy&amp;Rent'!$D110="","",VLOOKUP($C110,'3A.Occpcy&amp;Rent'!$C$15:$L$414,2,FALSE))</f>
        <v/>
      </c>
      <c r="E110" s="1783" t="str">
        <f>IF('3A.Occpcy&amp;Rent'!$D110="","",VLOOKUP($C110,'3A.Occpcy&amp;Rent'!$C$15:$L$414,3,FALSE))</f>
        <v/>
      </c>
      <c r="F110" s="1784" t="str">
        <f>IF('3A.Occpcy&amp;Rent'!$D110="","",VLOOKUP($C110,'3A.Occpcy&amp;Rent'!$C$15:$L$414,10,FALSE))</f>
        <v/>
      </c>
      <c r="G110" s="1785" t="str">
        <f>IF('3A.Occpcy&amp;Rent'!$D110="","",VLOOKUP($C110,'3A.Occpcy&amp;Rent'!$C$15:$L$414,5,FALSE))</f>
        <v/>
      </c>
      <c r="H110" s="1727"/>
      <c r="I110" s="1727"/>
      <c r="J110" s="1727"/>
      <c r="K110" s="1727"/>
      <c r="L110" s="1727"/>
      <c r="M110" s="1469"/>
      <c r="N110" s="1729"/>
      <c r="P110" s="1597">
        <f t="shared" si="3"/>
        <v>1</v>
      </c>
      <c r="Q110" s="1597">
        <f t="shared" si="5"/>
        <v>1</v>
      </c>
      <c r="R110">
        <f t="shared" si="4"/>
        <v>0</v>
      </c>
    </row>
    <row r="111" spans="3:18" ht="20.100000000000001" customHeight="1">
      <c r="C111" s="34">
        <v>97</v>
      </c>
      <c r="D111" s="1782" t="str">
        <f>IF('3A.Occpcy&amp;Rent'!$D111="","",VLOOKUP($C111,'3A.Occpcy&amp;Rent'!$C$15:$L$414,2,FALSE))</f>
        <v/>
      </c>
      <c r="E111" s="1783" t="str">
        <f>IF('3A.Occpcy&amp;Rent'!$D111="","",VLOOKUP($C111,'3A.Occpcy&amp;Rent'!$C$15:$L$414,3,FALSE))</f>
        <v/>
      </c>
      <c r="F111" s="1784" t="str">
        <f>IF('3A.Occpcy&amp;Rent'!$D111="","",VLOOKUP($C111,'3A.Occpcy&amp;Rent'!$C$15:$L$414,10,FALSE))</f>
        <v/>
      </c>
      <c r="G111" s="1785" t="str">
        <f>IF('3A.Occpcy&amp;Rent'!$D111="","",VLOOKUP($C111,'3A.Occpcy&amp;Rent'!$C$15:$L$414,5,FALSE))</f>
        <v/>
      </c>
      <c r="H111" s="1727"/>
      <c r="I111" s="1727"/>
      <c r="J111" s="1727"/>
      <c r="K111" s="1727"/>
      <c r="L111" s="1727"/>
      <c r="M111" s="1469"/>
      <c r="N111" s="1729"/>
      <c r="P111" s="1597">
        <f t="shared" si="3"/>
        <v>1</v>
      </c>
      <c r="Q111" s="1597">
        <f t="shared" si="5"/>
        <v>1</v>
      </c>
      <c r="R111">
        <f t="shared" si="4"/>
        <v>0</v>
      </c>
    </row>
    <row r="112" spans="3:18" ht="20.100000000000001" customHeight="1">
      <c r="C112" s="34">
        <v>98</v>
      </c>
      <c r="D112" s="1782" t="str">
        <f>IF('3A.Occpcy&amp;Rent'!$D112="","",VLOOKUP($C112,'3A.Occpcy&amp;Rent'!$C$15:$L$414,2,FALSE))</f>
        <v/>
      </c>
      <c r="E112" s="1783" t="str">
        <f>IF('3A.Occpcy&amp;Rent'!$D112="","",VLOOKUP($C112,'3A.Occpcy&amp;Rent'!$C$15:$L$414,3,FALSE))</f>
        <v/>
      </c>
      <c r="F112" s="1784" t="str">
        <f>IF('3A.Occpcy&amp;Rent'!$D112="","",VLOOKUP($C112,'3A.Occpcy&amp;Rent'!$C$15:$L$414,10,FALSE))</f>
        <v/>
      </c>
      <c r="G112" s="1785" t="str">
        <f>IF('3A.Occpcy&amp;Rent'!$D112="","",VLOOKUP($C112,'3A.Occpcy&amp;Rent'!$C$15:$L$414,5,FALSE))</f>
        <v/>
      </c>
      <c r="H112" s="1727"/>
      <c r="I112" s="1727"/>
      <c r="J112" s="1727"/>
      <c r="K112" s="1727"/>
      <c r="L112" s="1727"/>
      <c r="M112" s="1469"/>
      <c r="N112" s="1729"/>
      <c r="P112" s="1597">
        <f t="shared" si="3"/>
        <v>1</v>
      </c>
      <c r="Q112" s="1597">
        <f t="shared" si="5"/>
        <v>1</v>
      </c>
      <c r="R112">
        <f t="shared" si="4"/>
        <v>0</v>
      </c>
    </row>
    <row r="113" spans="3:18" ht="20.100000000000001" customHeight="1">
      <c r="C113" s="34">
        <v>99</v>
      </c>
      <c r="D113" s="1782" t="str">
        <f>IF('3A.Occpcy&amp;Rent'!$D113="","",VLOOKUP($C113,'3A.Occpcy&amp;Rent'!$C$15:$L$414,2,FALSE))</f>
        <v/>
      </c>
      <c r="E113" s="1783" t="str">
        <f>IF('3A.Occpcy&amp;Rent'!$D113="","",VLOOKUP($C113,'3A.Occpcy&amp;Rent'!$C$15:$L$414,3,FALSE))</f>
        <v/>
      </c>
      <c r="F113" s="1784" t="str">
        <f>IF('3A.Occpcy&amp;Rent'!$D113="","",VLOOKUP($C113,'3A.Occpcy&amp;Rent'!$C$15:$L$414,10,FALSE))</f>
        <v/>
      </c>
      <c r="G113" s="1785" t="str">
        <f>IF('3A.Occpcy&amp;Rent'!$D113="","",VLOOKUP($C113,'3A.Occpcy&amp;Rent'!$C$15:$L$414,5,FALSE))</f>
        <v/>
      </c>
      <c r="H113" s="1727"/>
      <c r="I113" s="1727"/>
      <c r="J113" s="1727"/>
      <c r="K113" s="1727"/>
      <c r="L113" s="1727"/>
      <c r="M113" s="1469"/>
      <c r="N113" s="1729"/>
      <c r="P113" s="1597">
        <f t="shared" si="3"/>
        <v>1</v>
      </c>
      <c r="Q113" s="1597">
        <f t="shared" si="5"/>
        <v>1</v>
      </c>
      <c r="R113">
        <f t="shared" si="4"/>
        <v>0</v>
      </c>
    </row>
    <row r="114" spans="3:18" ht="20.100000000000001" customHeight="1">
      <c r="C114" s="34">
        <v>100</v>
      </c>
      <c r="D114" s="1782" t="str">
        <f>IF('3A.Occpcy&amp;Rent'!$D114="","",VLOOKUP($C114,'3A.Occpcy&amp;Rent'!$C$15:$L$414,2,FALSE))</f>
        <v/>
      </c>
      <c r="E114" s="1783" t="str">
        <f>IF('3A.Occpcy&amp;Rent'!$D114="","",VLOOKUP($C114,'3A.Occpcy&amp;Rent'!$C$15:$L$414,3,FALSE))</f>
        <v/>
      </c>
      <c r="F114" s="1784" t="str">
        <f>IF('3A.Occpcy&amp;Rent'!$D114="","",VLOOKUP($C114,'3A.Occpcy&amp;Rent'!$C$15:$L$414,10,FALSE))</f>
        <v/>
      </c>
      <c r="G114" s="1785" t="str">
        <f>IF('3A.Occpcy&amp;Rent'!$D114="","",VLOOKUP($C114,'3A.Occpcy&amp;Rent'!$C$15:$L$414,5,FALSE))</f>
        <v/>
      </c>
      <c r="H114" s="1727"/>
      <c r="I114" s="1727"/>
      <c r="J114" s="1727"/>
      <c r="K114" s="1727"/>
      <c r="L114" s="1727"/>
      <c r="M114" s="1469"/>
      <c r="N114" s="1729"/>
      <c r="P114" s="1597">
        <f t="shared" si="3"/>
        <v>1</v>
      </c>
      <c r="Q114" s="1597">
        <f t="shared" si="5"/>
        <v>1</v>
      </c>
      <c r="R114">
        <f t="shared" si="4"/>
        <v>0</v>
      </c>
    </row>
    <row r="115" spans="3:18" ht="20.100000000000001" customHeight="1">
      <c r="C115" s="34">
        <v>101</v>
      </c>
      <c r="D115" s="1782" t="str">
        <f>IF('3A.Occpcy&amp;Rent'!$D115="","",VLOOKUP($C115,'3A.Occpcy&amp;Rent'!$C$15:$L$414,2,FALSE))</f>
        <v/>
      </c>
      <c r="E115" s="1783" t="str">
        <f>IF('3A.Occpcy&amp;Rent'!$D115="","",VLOOKUP($C115,'3A.Occpcy&amp;Rent'!$C$15:$L$414,3,FALSE))</f>
        <v/>
      </c>
      <c r="F115" s="1784" t="str">
        <f>IF('3A.Occpcy&amp;Rent'!$D115="","",VLOOKUP($C115,'3A.Occpcy&amp;Rent'!$C$15:$L$414,10,FALSE))</f>
        <v/>
      </c>
      <c r="G115" s="1785" t="str">
        <f>IF('3A.Occpcy&amp;Rent'!$D115="","",VLOOKUP($C115,'3A.Occpcy&amp;Rent'!$C$15:$L$414,5,FALSE))</f>
        <v/>
      </c>
      <c r="H115" s="1727"/>
      <c r="I115" s="1727"/>
      <c r="J115" s="1727"/>
      <c r="K115" s="1727"/>
      <c r="L115" s="1727"/>
      <c r="M115" s="1469"/>
      <c r="N115" s="1729"/>
      <c r="P115" s="1597">
        <f t="shared" si="3"/>
        <v>1</v>
      </c>
      <c r="Q115" s="1597">
        <f t="shared" si="5"/>
        <v>1</v>
      </c>
      <c r="R115">
        <f t="shared" si="4"/>
        <v>0</v>
      </c>
    </row>
    <row r="116" spans="3:18" ht="20.100000000000001" customHeight="1">
      <c r="C116" s="34">
        <v>102</v>
      </c>
      <c r="D116" s="1782" t="str">
        <f>IF('3A.Occpcy&amp;Rent'!$D116="","",VLOOKUP($C116,'3A.Occpcy&amp;Rent'!$C$15:$L$414,2,FALSE))</f>
        <v/>
      </c>
      <c r="E116" s="1783" t="str">
        <f>IF('3A.Occpcy&amp;Rent'!$D116="","",VLOOKUP($C116,'3A.Occpcy&amp;Rent'!$C$15:$L$414,3,FALSE))</f>
        <v/>
      </c>
      <c r="F116" s="1784" t="str">
        <f>IF('3A.Occpcy&amp;Rent'!$D116="","",VLOOKUP($C116,'3A.Occpcy&amp;Rent'!$C$15:$L$414,10,FALSE))</f>
        <v/>
      </c>
      <c r="G116" s="1785" t="str">
        <f>IF('3A.Occpcy&amp;Rent'!$D116="","",VLOOKUP($C116,'3A.Occpcy&amp;Rent'!$C$15:$L$414,5,FALSE))</f>
        <v/>
      </c>
      <c r="H116" s="1727"/>
      <c r="I116" s="1727"/>
      <c r="J116" s="1727"/>
      <c r="K116" s="1727"/>
      <c r="L116" s="1727"/>
      <c r="M116" s="1469"/>
      <c r="N116" s="1729"/>
      <c r="P116" s="1597">
        <f t="shared" si="3"/>
        <v>1</v>
      </c>
      <c r="Q116" s="1597">
        <f t="shared" si="5"/>
        <v>1</v>
      </c>
      <c r="R116">
        <f t="shared" si="4"/>
        <v>0</v>
      </c>
    </row>
    <row r="117" spans="3:18" ht="20.100000000000001" customHeight="1">
      <c r="C117" s="34">
        <v>103</v>
      </c>
      <c r="D117" s="1782" t="str">
        <f>IF('3A.Occpcy&amp;Rent'!$D117="","",VLOOKUP($C117,'3A.Occpcy&amp;Rent'!$C$15:$L$414,2,FALSE))</f>
        <v/>
      </c>
      <c r="E117" s="1783" t="str">
        <f>IF('3A.Occpcy&amp;Rent'!$D117="","",VLOOKUP($C117,'3A.Occpcy&amp;Rent'!$C$15:$L$414,3,FALSE))</f>
        <v/>
      </c>
      <c r="F117" s="1784" t="str">
        <f>IF('3A.Occpcy&amp;Rent'!$D117="","",VLOOKUP($C117,'3A.Occpcy&amp;Rent'!$C$15:$L$414,10,FALSE))</f>
        <v/>
      </c>
      <c r="G117" s="1785" t="str">
        <f>IF('3A.Occpcy&amp;Rent'!$D117="","",VLOOKUP($C117,'3A.Occpcy&amp;Rent'!$C$15:$L$414,5,FALSE))</f>
        <v/>
      </c>
      <c r="H117" s="1727"/>
      <c r="I117" s="1727"/>
      <c r="J117" s="1727"/>
      <c r="K117" s="1727"/>
      <c r="L117" s="1727"/>
      <c r="M117" s="1469"/>
      <c r="N117" s="1729"/>
      <c r="P117" s="1597">
        <f t="shared" si="3"/>
        <v>1</v>
      </c>
      <c r="Q117" s="1597">
        <f t="shared" si="5"/>
        <v>1</v>
      </c>
      <c r="R117">
        <f t="shared" si="4"/>
        <v>0</v>
      </c>
    </row>
    <row r="118" spans="3:18" ht="20.100000000000001" customHeight="1">
      <c r="C118" s="34">
        <v>104</v>
      </c>
      <c r="D118" s="1782" t="str">
        <f>IF('3A.Occpcy&amp;Rent'!$D118="","",VLOOKUP($C118,'3A.Occpcy&amp;Rent'!$C$15:$L$414,2,FALSE))</f>
        <v/>
      </c>
      <c r="E118" s="1783" t="str">
        <f>IF('3A.Occpcy&amp;Rent'!$D118="","",VLOOKUP($C118,'3A.Occpcy&amp;Rent'!$C$15:$L$414,3,FALSE))</f>
        <v/>
      </c>
      <c r="F118" s="1784" t="str">
        <f>IF('3A.Occpcy&amp;Rent'!$D118="","",VLOOKUP($C118,'3A.Occpcy&amp;Rent'!$C$15:$L$414,10,FALSE))</f>
        <v/>
      </c>
      <c r="G118" s="1785" t="str">
        <f>IF('3A.Occpcy&amp;Rent'!$D118="","",VLOOKUP($C118,'3A.Occpcy&amp;Rent'!$C$15:$L$414,5,FALSE))</f>
        <v/>
      </c>
      <c r="H118" s="1727"/>
      <c r="I118" s="1727"/>
      <c r="J118" s="1727"/>
      <c r="K118" s="1727"/>
      <c r="L118" s="1727"/>
      <c r="M118" s="1469"/>
      <c r="N118" s="1729"/>
      <c r="P118" s="1597">
        <f t="shared" si="3"/>
        <v>1</v>
      </c>
      <c r="Q118" s="1597">
        <f t="shared" si="5"/>
        <v>1</v>
      </c>
      <c r="R118">
        <f t="shared" si="4"/>
        <v>0</v>
      </c>
    </row>
    <row r="119" spans="3:18" ht="20.100000000000001" customHeight="1">
      <c r="C119" s="34">
        <v>105</v>
      </c>
      <c r="D119" s="1782" t="str">
        <f>IF('3A.Occpcy&amp;Rent'!$D119="","",VLOOKUP($C119,'3A.Occpcy&amp;Rent'!$C$15:$L$414,2,FALSE))</f>
        <v/>
      </c>
      <c r="E119" s="1783" t="str">
        <f>IF('3A.Occpcy&amp;Rent'!$D119="","",VLOOKUP($C119,'3A.Occpcy&amp;Rent'!$C$15:$L$414,3,FALSE))</f>
        <v/>
      </c>
      <c r="F119" s="1784" t="str">
        <f>IF('3A.Occpcy&amp;Rent'!$D119="","",VLOOKUP($C119,'3A.Occpcy&amp;Rent'!$C$15:$L$414,10,FALSE))</f>
        <v/>
      </c>
      <c r="G119" s="1785" t="str">
        <f>IF('3A.Occpcy&amp;Rent'!$D119="","",VLOOKUP($C119,'3A.Occpcy&amp;Rent'!$C$15:$L$414,5,FALSE))</f>
        <v/>
      </c>
      <c r="H119" s="1727"/>
      <c r="I119" s="1727"/>
      <c r="J119" s="1727"/>
      <c r="K119" s="1727"/>
      <c r="L119" s="1727"/>
      <c r="M119" s="1469"/>
      <c r="N119" s="1729"/>
      <c r="P119" s="1597">
        <f t="shared" si="3"/>
        <v>1</v>
      </c>
      <c r="Q119" s="1597">
        <f t="shared" si="5"/>
        <v>1</v>
      </c>
      <c r="R119">
        <f t="shared" si="4"/>
        <v>0</v>
      </c>
    </row>
    <row r="120" spans="3:18" ht="20.100000000000001" customHeight="1">
      <c r="C120" s="34">
        <v>106</v>
      </c>
      <c r="D120" s="1782" t="str">
        <f>IF('3A.Occpcy&amp;Rent'!$D120="","",VLOOKUP($C120,'3A.Occpcy&amp;Rent'!$C$15:$L$414,2,FALSE))</f>
        <v/>
      </c>
      <c r="E120" s="1783" t="str">
        <f>IF('3A.Occpcy&amp;Rent'!$D120="","",VLOOKUP($C120,'3A.Occpcy&amp;Rent'!$C$15:$L$414,3,FALSE))</f>
        <v/>
      </c>
      <c r="F120" s="1784" t="str">
        <f>IF('3A.Occpcy&amp;Rent'!$D120="","",VLOOKUP($C120,'3A.Occpcy&amp;Rent'!$C$15:$L$414,10,FALSE))</f>
        <v/>
      </c>
      <c r="G120" s="1785" t="str">
        <f>IF('3A.Occpcy&amp;Rent'!$D120="","",VLOOKUP($C120,'3A.Occpcy&amp;Rent'!$C$15:$L$414,5,FALSE))</f>
        <v/>
      </c>
      <c r="H120" s="1727"/>
      <c r="I120" s="1727"/>
      <c r="J120" s="1727"/>
      <c r="K120" s="1727"/>
      <c r="L120" s="1727"/>
      <c r="M120" s="1469"/>
      <c r="N120" s="1729"/>
      <c r="P120" s="1597">
        <f t="shared" si="3"/>
        <v>1</v>
      </c>
      <c r="Q120" s="1597">
        <f t="shared" si="5"/>
        <v>1</v>
      </c>
      <c r="R120">
        <f t="shared" si="4"/>
        <v>0</v>
      </c>
    </row>
    <row r="121" spans="3:18" ht="20.100000000000001" customHeight="1">
      <c r="C121" s="34">
        <v>107</v>
      </c>
      <c r="D121" s="1782" t="str">
        <f>IF('3A.Occpcy&amp;Rent'!$D121="","",VLOOKUP($C121,'3A.Occpcy&amp;Rent'!$C$15:$L$414,2,FALSE))</f>
        <v/>
      </c>
      <c r="E121" s="1783" t="str">
        <f>IF('3A.Occpcy&amp;Rent'!$D121="","",VLOOKUP($C121,'3A.Occpcy&amp;Rent'!$C$15:$L$414,3,FALSE))</f>
        <v/>
      </c>
      <c r="F121" s="1784" t="str">
        <f>IF('3A.Occpcy&amp;Rent'!$D121="","",VLOOKUP($C121,'3A.Occpcy&amp;Rent'!$C$15:$L$414,10,FALSE))</f>
        <v/>
      </c>
      <c r="G121" s="1785" t="str">
        <f>IF('3A.Occpcy&amp;Rent'!$D121="","",VLOOKUP($C121,'3A.Occpcy&amp;Rent'!$C$15:$L$414,5,FALSE))</f>
        <v/>
      </c>
      <c r="H121" s="1727"/>
      <c r="I121" s="1727"/>
      <c r="J121" s="1727"/>
      <c r="K121" s="1727"/>
      <c r="L121" s="1727"/>
      <c r="M121" s="1469"/>
      <c r="N121" s="1729"/>
      <c r="P121" s="1597">
        <f t="shared" si="3"/>
        <v>1</v>
      </c>
      <c r="Q121" s="1597">
        <f t="shared" si="5"/>
        <v>1</v>
      </c>
      <c r="R121">
        <f t="shared" si="4"/>
        <v>0</v>
      </c>
    </row>
    <row r="122" spans="3:18" ht="20.100000000000001" customHeight="1">
      <c r="C122" s="34">
        <v>108</v>
      </c>
      <c r="D122" s="1782" t="str">
        <f>IF('3A.Occpcy&amp;Rent'!$D122="","",VLOOKUP($C122,'3A.Occpcy&amp;Rent'!$C$15:$L$414,2,FALSE))</f>
        <v/>
      </c>
      <c r="E122" s="1783" t="str">
        <f>IF('3A.Occpcy&amp;Rent'!$D122="","",VLOOKUP($C122,'3A.Occpcy&amp;Rent'!$C$15:$L$414,3,FALSE))</f>
        <v/>
      </c>
      <c r="F122" s="1784" t="str">
        <f>IF('3A.Occpcy&amp;Rent'!$D122="","",VLOOKUP($C122,'3A.Occpcy&amp;Rent'!$C$15:$L$414,10,FALSE))</f>
        <v/>
      </c>
      <c r="G122" s="1785" t="str">
        <f>IF('3A.Occpcy&amp;Rent'!$D122="","",VLOOKUP($C122,'3A.Occpcy&amp;Rent'!$C$15:$L$414,5,FALSE))</f>
        <v/>
      </c>
      <c r="H122" s="1727"/>
      <c r="I122" s="1727"/>
      <c r="J122" s="1727"/>
      <c r="K122" s="1727"/>
      <c r="L122" s="1727"/>
      <c r="M122" s="1469"/>
      <c r="N122" s="1729"/>
      <c r="P122" s="1597">
        <f t="shared" si="3"/>
        <v>1</v>
      </c>
      <c r="Q122" s="1597">
        <f t="shared" si="5"/>
        <v>1</v>
      </c>
      <c r="R122">
        <f t="shared" si="4"/>
        <v>0</v>
      </c>
    </row>
    <row r="123" spans="3:18" ht="20.100000000000001" customHeight="1">
      <c r="C123" s="34">
        <v>109</v>
      </c>
      <c r="D123" s="1782" t="str">
        <f>IF('3A.Occpcy&amp;Rent'!$D123="","",VLOOKUP($C123,'3A.Occpcy&amp;Rent'!$C$15:$L$414,2,FALSE))</f>
        <v/>
      </c>
      <c r="E123" s="1783" t="str">
        <f>IF('3A.Occpcy&amp;Rent'!$D123="","",VLOOKUP($C123,'3A.Occpcy&amp;Rent'!$C$15:$L$414,3,FALSE))</f>
        <v/>
      </c>
      <c r="F123" s="1784" t="str">
        <f>IF('3A.Occpcy&amp;Rent'!$D123="","",VLOOKUP($C123,'3A.Occpcy&amp;Rent'!$C$15:$L$414,10,FALSE))</f>
        <v/>
      </c>
      <c r="G123" s="1785" t="str">
        <f>IF('3A.Occpcy&amp;Rent'!$D123="","",VLOOKUP($C123,'3A.Occpcy&amp;Rent'!$C$15:$L$414,5,FALSE))</f>
        <v/>
      </c>
      <c r="H123" s="1727"/>
      <c r="I123" s="1727"/>
      <c r="J123" s="1727"/>
      <c r="K123" s="1727"/>
      <c r="L123" s="1727"/>
      <c r="M123" s="1469"/>
      <c r="N123" s="1729"/>
      <c r="P123" s="1597">
        <f t="shared" si="3"/>
        <v>1</v>
      </c>
      <c r="Q123" s="1597">
        <f t="shared" si="5"/>
        <v>1</v>
      </c>
      <c r="R123">
        <f t="shared" si="4"/>
        <v>0</v>
      </c>
    </row>
    <row r="124" spans="3:18" ht="20.100000000000001" customHeight="1">
      <c r="C124" s="34">
        <v>110</v>
      </c>
      <c r="D124" s="1782" t="str">
        <f>IF('3A.Occpcy&amp;Rent'!$D124="","",VLOOKUP($C124,'3A.Occpcy&amp;Rent'!$C$15:$L$414,2,FALSE))</f>
        <v/>
      </c>
      <c r="E124" s="1783" t="str">
        <f>IF('3A.Occpcy&amp;Rent'!$D124="","",VLOOKUP($C124,'3A.Occpcy&amp;Rent'!$C$15:$L$414,3,FALSE))</f>
        <v/>
      </c>
      <c r="F124" s="1784" t="str">
        <f>IF('3A.Occpcy&amp;Rent'!$D124="","",VLOOKUP($C124,'3A.Occpcy&amp;Rent'!$C$15:$L$414,10,FALSE))</f>
        <v/>
      </c>
      <c r="G124" s="1785" t="str">
        <f>IF('3A.Occpcy&amp;Rent'!$D124="","",VLOOKUP($C124,'3A.Occpcy&amp;Rent'!$C$15:$L$414,5,FALSE))</f>
        <v/>
      </c>
      <c r="H124" s="1727"/>
      <c r="I124" s="1727"/>
      <c r="J124" s="1727"/>
      <c r="K124" s="1727"/>
      <c r="L124" s="1727"/>
      <c r="M124" s="1469"/>
      <c r="N124" s="1729"/>
      <c r="P124" s="1597">
        <f t="shared" si="3"/>
        <v>1</v>
      </c>
      <c r="Q124" s="1597">
        <f t="shared" si="5"/>
        <v>1</v>
      </c>
      <c r="R124">
        <f t="shared" si="4"/>
        <v>0</v>
      </c>
    </row>
    <row r="125" spans="3:18" ht="20.100000000000001" customHeight="1">
      <c r="C125" s="34">
        <v>111</v>
      </c>
      <c r="D125" s="1782" t="str">
        <f>IF('3A.Occpcy&amp;Rent'!$D125="","",VLOOKUP($C125,'3A.Occpcy&amp;Rent'!$C$15:$L$414,2,FALSE))</f>
        <v/>
      </c>
      <c r="E125" s="1783" t="str">
        <f>IF('3A.Occpcy&amp;Rent'!$D125="","",VLOOKUP($C125,'3A.Occpcy&amp;Rent'!$C$15:$L$414,3,FALSE))</f>
        <v/>
      </c>
      <c r="F125" s="1784" t="str">
        <f>IF('3A.Occpcy&amp;Rent'!$D125="","",VLOOKUP($C125,'3A.Occpcy&amp;Rent'!$C$15:$L$414,10,FALSE))</f>
        <v/>
      </c>
      <c r="G125" s="1785" t="str">
        <f>IF('3A.Occpcy&amp;Rent'!$D125="","",VLOOKUP($C125,'3A.Occpcy&amp;Rent'!$C$15:$L$414,5,FALSE))</f>
        <v/>
      </c>
      <c r="H125" s="1727"/>
      <c r="I125" s="1727"/>
      <c r="J125" s="1727"/>
      <c r="K125" s="1727"/>
      <c r="L125" s="1727"/>
      <c r="M125" s="1469"/>
      <c r="N125" s="1729"/>
      <c r="P125" s="1597">
        <f t="shared" si="3"/>
        <v>1</v>
      </c>
      <c r="Q125" s="1597">
        <f t="shared" si="5"/>
        <v>1</v>
      </c>
      <c r="R125">
        <f t="shared" si="4"/>
        <v>0</v>
      </c>
    </row>
    <row r="126" spans="3:18" ht="20.100000000000001" customHeight="1">
      <c r="C126" s="34">
        <v>112</v>
      </c>
      <c r="D126" s="1782" t="str">
        <f>IF('3A.Occpcy&amp;Rent'!$D126="","",VLOOKUP($C126,'3A.Occpcy&amp;Rent'!$C$15:$L$414,2,FALSE))</f>
        <v/>
      </c>
      <c r="E126" s="1783" t="str">
        <f>IF('3A.Occpcy&amp;Rent'!$D126="","",VLOOKUP($C126,'3A.Occpcy&amp;Rent'!$C$15:$L$414,3,FALSE))</f>
        <v/>
      </c>
      <c r="F126" s="1784" t="str">
        <f>IF('3A.Occpcy&amp;Rent'!$D126="","",VLOOKUP($C126,'3A.Occpcy&amp;Rent'!$C$15:$L$414,10,FALSE))</f>
        <v/>
      </c>
      <c r="G126" s="1785" t="str">
        <f>IF('3A.Occpcy&amp;Rent'!$D126="","",VLOOKUP($C126,'3A.Occpcy&amp;Rent'!$C$15:$L$414,5,FALSE))</f>
        <v/>
      </c>
      <c r="H126" s="1727"/>
      <c r="I126" s="1727"/>
      <c r="J126" s="1727"/>
      <c r="K126" s="1727"/>
      <c r="L126" s="1727"/>
      <c r="M126" s="1469"/>
      <c r="N126" s="1729"/>
      <c r="P126" s="1597">
        <f t="shared" si="3"/>
        <v>1</v>
      </c>
      <c r="Q126" s="1597">
        <f t="shared" si="5"/>
        <v>1</v>
      </c>
      <c r="R126">
        <f t="shared" si="4"/>
        <v>0</v>
      </c>
    </row>
    <row r="127" spans="3:18" ht="20.100000000000001" customHeight="1">
      <c r="C127" s="34">
        <v>113</v>
      </c>
      <c r="D127" s="1782" t="str">
        <f>IF('3A.Occpcy&amp;Rent'!$D127="","",VLOOKUP($C127,'3A.Occpcy&amp;Rent'!$C$15:$L$414,2,FALSE))</f>
        <v/>
      </c>
      <c r="E127" s="1783" t="str">
        <f>IF('3A.Occpcy&amp;Rent'!$D127="","",VLOOKUP($C127,'3A.Occpcy&amp;Rent'!$C$15:$L$414,3,FALSE))</f>
        <v/>
      </c>
      <c r="F127" s="1784" t="str">
        <f>IF('3A.Occpcy&amp;Rent'!$D127="","",VLOOKUP($C127,'3A.Occpcy&amp;Rent'!$C$15:$L$414,10,FALSE))</f>
        <v/>
      </c>
      <c r="G127" s="1785" t="str">
        <f>IF('3A.Occpcy&amp;Rent'!$D127="","",VLOOKUP($C127,'3A.Occpcy&amp;Rent'!$C$15:$L$414,5,FALSE))</f>
        <v/>
      </c>
      <c r="H127" s="1727"/>
      <c r="I127" s="1727"/>
      <c r="J127" s="1727"/>
      <c r="K127" s="1727"/>
      <c r="L127" s="1727"/>
      <c r="M127" s="1469"/>
      <c r="N127" s="1729"/>
      <c r="P127" s="1597">
        <f t="shared" si="3"/>
        <v>1</v>
      </c>
      <c r="Q127" s="1597">
        <f t="shared" si="5"/>
        <v>1</v>
      </c>
      <c r="R127">
        <f t="shared" si="4"/>
        <v>0</v>
      </c>
    </row>
    <row r="128" spans="3:18" ht="20.100000000000001" customHeight="1">
      <c r="C128" s="34">
        <v>114</v>
      </c>
      <c r="D128" s="1782" t="str">
        <f>IF('3A.Occpcy&amp;Rent'!$D128="","",VLOOKUP($C128,'3A.Occpcy&amp;Rent'!$C$15:$L$414,2,FALSE))</f>
        <v/>
      </c>
      <c r="E128" s="1783" t="str">
        <f>IF('3A.Occpcy&amp;Rent'!$D128="","",VLOOKUP($C128,'3A.Occpcy&amp;Rent'!$C$15:$L$414,3,FALSE))</f>
        <v/>
      </c>
      <c r="F128" s="1784" t="str">
        <f>IF('3A.Occpcy&amp;Rent'!$D128="","",VLOOKUP($C128,'3A.Occpcy&amp;Rent'!$C$15:$L$414,10,FALSE))</f>
        <v/>
      </c>
      <c r="G128" s="1785" t="str">
        <f>IF('3A.Occpcy&amp;Rent'!$D128="","",VLOOKUP($C128,'3A.Occpcy&amp;Rent'!$C$15:$L$414,5,FALSE))</f>
        <v/>
      </c>
      <c r="H128" s="1727"/>
      <c r="I128" s="1727"/>
      <c r="J128" s="1727"/>
      <c r="K128" s="1727"/>
      <c r="L128" s="1727"/>
      <c r="M128" s="1469"/>
      <c r="N128" s="1729"/>
      <c r="P128" s="1597">
        <f t="shared" si="3"/>
        <v>1</v>
      </c>
      <c r="Q128" s="1597">
        <f t="shared" si="5"/>
        <v>1</v>
      </c>
      <c r="R128">
        <f t="shared" si="4"/>
        <v>0</v>
      </c>
    </row>
    <row r="129" spans="3:18" ht="20.100000000000001" customHeight="1">
      <c r="C129" s="34">
        <v>115</v>
      </c>
      <c r="D129" s="1782" t="str">
        <f>IF('3A.Occpcy&amp;Rent'!$D129="","",VLOOKUP($C129,'3A.Occpcy&amp;Rent'!$C$15:$L$414,2,FALSE))</f>
        <v/>
      </c>
      <c r="E129" s="1783" t="str">
        <f>IF('3A.Occpcy&amp;Rent'!$D129="","",VLOOKUP($C129,'3A.Occpcy&amp;Rent'!$C$15:$L$414,3,FALSE))</f>
        <v/>
      </c>
      <c r="F129" s="1784" t="str">
        <f>IF('3A.Occpcy&amp;Rent'!$D129="","",VLOOKUP($C129,'3A.Occpcy&amp;Rent'!$C$15:$L$414,10,FALSE))</f>
        <v/>
      </c>
      <c r="G129" s="1785" t="str">
        <f>IF('3A.Occpcy&amp;Rent'!$D129="","",VLOOKUP($C129,'3A.Occpcy&amp;Rent'!$C$15:$L$414,5,FALSE))</f>
        <v/>
      </c>
      <c r="H129" s="1727"/>
      <c r="I129" s="1727"/>
      <c r="J129" s="1727"/>
      <c r="K129" s="1727"/>
      <c r="L129" s="1727"/>
      <c r="M129" s="1469"/>
      <c r="N129" s="1729"/>
      <c r="P129" s="1597">
        <f t="shared" si="3"/>
        <v>1</v>
      </c>
      <c r="Q129" s="1597">
        <f t="shared" si="5"/>
        <v>1</v>
      </c>
      <c r="R129">
        <f t="shared" si="4"/>
        <v>0</v>
      </c>
    </row>
    <row r="130" spans="3:18" ht="20.100000000000001" customHeight="1">
      <c r="C130" s="34">
        <v>116</v>
      </c>
      <c r="D130" s="1782" t="str">
        <f>IF('3A.Occpcy&amp;Rent'!$D130="","",VLOOKUP($C130,'3A.Occpcy&amp;Rent'!$C$15:$L$414,2,FALSE))</f>
        <v/>
      </c>
      <c r="E130" s="1783" t="str">
        <f>IF('3A.Occpcy&amp;Rent'!$D130="","",VLOOKUP($C130,'3A.Occpcy&amp;Rent'!$C$15:$L$414,3,FALSE))</f>
        <v/>
      </c>
      <c r="F130" s="1784" t="str">
        <f>IF('3A.Occpcy&amp;Rent'!$D130="","",VLOOKUP($C130,'3A.Occpcy&amp;Rent'!$C$15:$L$414,10,FALSE))</f>
        <v/>
      </c>
      <c r="G130" s="1785" t="str">
        <f>IF('3A.Occpcy&amp;Rent'!$D130="","",VLOOKUP($C130,'3A.Occpcy&amp;Rent'!$C$15:$L$414,5,FALSE))</f>
        <v/>
      </c>
      <c r="H130" s="1727"/>
      <c r="I130" s="1727"/>
      <c r="J130" s="1727"/>
      <c r="K130" s="1727"/>
      <c r="L130" s="1727"/>
      <c r="M130" s="1469"/>
      <c r="N130" s="1729"/>
      <c r="P130" s="1597">
        <f t="shared" si="3"/>
        <v>1</v>
      </c>
      <c r="Q130" s="1597">
        <f t="shared" si="5"/>
        <v>1</v>
      </c>
      <c r="R130">
        <f t="shared" si="4"/>
        <v>0</v>
      </c>
    </row>
    <row r="131" spans="3:18" ht="20.100000000000001" customHeight="1">
      <c r="C131" s="34">
        <v>117</v>
      </c>
      <c r="D131" s="1782" t="str">
        <f>IF('3A.Occpcy&amp;Rent'!$D131="","",VLOOKUP($C131,'3A.Occpcy&amp;Rent'!$C$15:$L$414,2,FALSE))</f>
        <v/>
      </c>
      <c r="E131" s="1783" t="str">
        <f>IF('3A.Occpcy&amp;Rent'!$D131="","",VLOOKUP($C131,'3A.Occpcy&amp;Rent'!$C$15:$L$414,3,FALSE))</f>
        <v/>
      </c>
      <c r="F131" s="1784" t="str">
        <f>IF('3A.Occpcy&amp;Rent'!$D131="","",VLOOKUP($C131,'3A.Occpcy&amp;Rent'!$C$15:$L$414,10,FALSE))</f>
        <v/>
      </c>
      <c r="G131" s="1785" t="str">
        <f>IF('3A.Occpcy&amp;Rent'!$D131="","",VLOOKUP($C131,'3A.Occpcy&amp;Rent'!$C$15:$L$414,5,FALSE))</f>
        <v/>
      </c>
      <c r="H131" s="1727"/>
      <c r="I131" s="1727"/>
      <c r="J131" s="1727"/>
      <c r="K131" s="1727"/>
      <c r="L131" s="1727"/>
      <c r="M131" s="1469"/>
      <c r="N131" s="1729"/>
      <c r="P131" s="1597">
        <f t="shared" si="3"/>
        <v>1</v>
      </c>
      <c r="Q131" s="1597">
        <f t="shared" si="5"/>
        <v>1</v>
      </c>
      <c r="R131">
        <f t="shared" si="4"/>
        <v>0</v>
      </c>
    </row>
    <row r="132" spans="3:18" ht="20.100000000000001" customHeight="1">
      <c r="C132" s="34">
        <v>118</v>
      </c>
      <c r="D132" s="1782" t="str">
        <f>IF('3A.Occpcy&amp;Rent'!$D132="","",VLOOKUP($C132,'3A.Occpcy&amp;Rent'!$C$15:$L$414,2,FALSE))</f>
        <v/>
      </c>
      <c r="E132" s="1783" t="str">
        <f>IF('3A.Occpcy&amp;Rent'!$D132="","",VLOOKUP($C132,'3A.Occpcy&amp;Rent'!$C$15:$L$414,3,FALSE))</f>
        <v/>
      </c>
      <c r="F132" s="1784" t="str">
        <f>IF('3A.Occpcy&amp;Rent'!$D132="","",VLOOKUP($C132,'3A.Occpcy&amp;Rent'!$C$15:$L$414,10,FALSE))</f>
        <v/>
      </c>
      <c r="G132" s="1785" t="str">
        <f>IF('3A.Occpcy&amp;Rent'!$D132="","",VLOOKUP($C132,'3A.Occpcy&amp;Rent'!$C$15:$L$414,5,FALSE))</f>
        <v/>
      </c>
      <c r="H132" s="1727"/>
      <c r="I132" s="1727"/>
      <c r="J132" s="1727"/>
      <c r="K132" s="1727"/>
      <c r="L132" s="1727"/>
      <c r="M132" s="1469"/>
      <c r="N132" s="1729"/>
      <c r="P132" s="1597">
        <f t="shared" si="3"/>
        <v>1</v>
      </c>
      <c r="Q132" s="1597">
        <f t="shared" si="5"/>
        <v>1</v>
      </c>
      <c r="R132">
        <f t="shared" si="4"/>
        <v>0</v>
      </c>
    </row>
    <row r="133" spans="3:18" ht="20.100000000000001" customHeight="1">
      <c r="C133" s="34">
        <v>119</v>
      </c>
      <c r="D133" s="1782" t="str">
        <f>IF('3A.Occpcy&amp;Rent'!$D133="","",VLOOKUP($C133,'3A.Occpcy&amp;Rent'!$C$15:$L$414,2,FALSE))</f>
        <v/>
      </c>
      <c r="E133" s="1783" t="str">
        <f>IF('3A.Occpcy&amp;Rent'!$D133="","",VLOOKUP($C133,'3A.Occpcy&amp;Rent'!$C$15:$L$414,3,FALSE))</f>
        <v/>
      </c>
      <c r="F133" s="1784" t="str">
        <f>IF('3A.Occpcy&amp;Rent'!$D133="","",VLOOKUP($C133,'3A.Occpcy&amp;Rent'!$C$15:$L$414,10,FALSE))</f>
        <v/>
      </c>
      <c r="G133" s="1785" t="str">
        <f>IF('3A.Occpcy&amp;Rent'!$D133="","",VLOOKUP($C133,'3A.Occpcy&amp;Rent'!$C$15:$L$414,5,FALSE))</f>
        <v/>
      </c>
      <c r="H133" s="1727"/>
      <c r="I133" s="1727"/>
      <c r="J133" s="1727"/>
      <c r="K133" s="1727"/>
      <c r="L133" s="1727"/>
      <c r="M133" s="1469"/>
      <c r="N133" s="1729"/>
      <c r="P133" s="1597">
        <f t="shared" si="3"/>
        <v>1</v>
      </c>
      <c r="Q133" s="1597">
        <f t="shared" si="5"/>
        <v>1</v>
      </c>
      <c r="R133">
        <f t="shared" si="4"/>
        <v>0</v>
      </c>
    </row>
    <row r="134" spans="3:18" ht="20.100000000000001" customHeight="1">
      <c r="C134" s="34">
        <v>120</v>
      </c>
      <c r="D134" s="1782" t="str">
        <f>IF('3A.Occpcy&amp;Rent'!$D134="","",VLOOKUP($C134,'3A.Occpcy&amp;Rent'!$C$15:$L$414,2,FALSE))</f>
        <v/>
      </c>
      <c r="E134" s="1783" t="str">
        <f>IF('3A.Occpcy&amp;Rent'!$D134="","",VLOOKUP($C134,'3A.Occpcy&amp;Rent'!$C$15:$L$414,3,FALSE))</f>
        <v/>
      </c>
      <c r="F134" s="1784" t="str">
        <f>IF('3A.Occpcy&amp;Rent'!$D134="","",VLOOKUP($C134,'3A.Occpcy&amp;Rent'!$C$15:$L$414,10,FALSE))</f>
        <v/>
      </c>
      <c r="G134" s="1785" t="str">
        <f>IF('3A.Occpcy&amp;Rent'!$D134="","",VLOOKUP($C134,'3A.Occpcy&amp;Rent'!$C$15:$L$414,5,FALSE))</f>
        <v/>
      </c>
      <c r="H134" s="1727"/>
      <c r="I134" s="1727"/>
      <c r="J134" s="1727"/>
      <c r="K134" s="1727"/>
      <c r="L134" s="1727"/>
      <c r="M134" s="1469"/>
      <c r="N134" s="1729"/>
      <c r="P134" s="1597">
        <f t="shared" si="3"/>
        <v>1</v>
      </c>
      <c r="Q134" s="1597">
        <f t="shared" si="5"/>
        <v>1</v>
      </c>
      <c r="R134">
        <f t="shared" si="4"/>
        <v>0</v>
      </c>
    </row>
    <row r="135" spans="3:18" ht="20.100000000000001" customHeight="1">
      <c r="C135" s="34">
        <v>121</v>
      </c>
      <c r="D135" s="1782" t="str">
        <f>IF('3A.Occpcy&amp;Rent'!$D135="","",VLOOKUP($C135,'3A.Occpcy&amp;Rent'!$C$15:$L$414,2,FALSE))</f>
        <v/>
      </c>
      <c r="E135" s="1783" t="str">
        <f>IF('3A.Occpcy&amp;Rent'!$D135="","",VLOOKUP($C135,'3A.Occpcy&amp;Rent'!$C$15:$L$414,3,FALSE))</f>
        <v/>
      </c>
      <c r="F135" s="1784" t="str">
        <f>IF('3A.Occpcy&amp;Rent'!$D135="","",VLOOKUP($C135,'3A.Occpcy&amp;Rent'!$C$15:$L$414,10,FALSE))</f>
        <v/>
      </c>
      <c r="G135" s="1785" t="str">
        <f>IF('3A.Occpcy&amp;Rent'!$D135="","",VLOOKUP($C135,'3A.Occpcy&amp;Rent'!$C$15:$L$414,5,FALSE))</f>
        <v/>
      </c>
      <c r="H135" s="1727"/>
      <c r="I135" s="1727"/>
      <c r="J135" s="1727"/>
      <c r="K135" s="1727"/>
      <c r="L135" s="1727"/>
      <c r="M135" s="1469"/>
      <c r="N135" s="1729"/>
      <c r="P135" s="1597">
        <f t="shared" si="3"/>
        <v>1</v>
      </c>
      <c r="Q135" s="1597">
        <f t="shared" si="5"/>
        <v>1</v>
      </c>
      <c r="R135">
        <f t="shared" si="4"/>
        <v>0</v>
      </c>
    </row>
    <row r="136" spans="3:18" ht="20.100000000000001" customHeight="1">
      <c r="C136" s="34">
        <v>122</v>
      </c>
      <c r="D136" s="1782" t="str">
        <f>IF('3A.Occpcy&amp;Rent'!$D136="","",VLOOKUP($C136,'3A.Occpcy&amp;Rent'!$C$15:$L$414,2,FALSE))</f>
        <v/>
      </c>
      <c r="E136" s="1783" t="str">
        <f>IF('3A.Occpcy&amp;Rent'!$D136="","",VLOOKUP($C136,'3A.Occpcy&amp;Rent'!$C$15:$L$414,3,FALSE))</f>
        <v/>
      </c>
      <c r="F136" s="1784" t="str">
        <f>IF('3A.Occpcy&amp;Rent'!$D136="","",VLOOKUP($C136,'3A.Occpcy&amp;Rent'!$C$15:$L$414,10,FALSE))</f>
        <v/>
      </c>
      <c r="G136" s="1785" t="str">
        <f>IF('3A.Occpcy&amp;Rent'!$D136="","",VLOOKUP($C136,'3A.Occpcy&amp;Rent'!$C$15:$L$414,5,FALSE))</f>
        <v/>
      </c>
      <c r="H136" s="1727"/>
      <c r="I136" s="1727"/>
      <c r="J136" s="1727"/>
      <c r="K136" s="1727"/>
      <c r="L136" s="1727"/>
      <c r="M136" s="1469"/>
      <c r="N136" s="1729"/>
      <c r="P136" s="1597">
        <f t="shared" si="3"/>
        <v>1</v>
      </c>
      <c r="Q136" s="1597">
        <f t="shared" si="5"/>
        <v>1</v>
      </c>
      <c r="R136">
        <f t="shared" si="4"/>
        <v>0</v>
      </c>
    </row>
    <row r="137" spans="3:18" ht="20.100000000000001" customHeight="1">
      <c r="C137" s="34">
        <v>123</v>
      </c>
      <c r="D137" s="1782" t="str">
        <f>IF('3A.Occpcy&amp;Rent'!$D137="","",VLOOKUP($C137,'3A.Occpcy&amp;Rent'!$C$15:$L$414,2,FALSE))</f>
        <v/>
      </c>
      <c r="E137" s="1783" t="str">
        <f>IF('3A.Occpcy&amp;Rent'!$D137="","",VLOOKUP($C137,'3A.Occpcy&amp;Rent'!$C$15:$L$414,3,FALSE))</f>
        <v/>
      </c>
      <c r="F137" s="1784" t="str">
        <f>IF('3A.Occpcy&amp;Rent'!$D137="","",VLOOKUP($C137,'3A.Occpcy&amp;Rent'!$C$15:$L$414,10,FALSE))</f>
        <v/>
      </c>
      <c r="G137" s="1785" t="str">
        <f>IF('3A.Occpcy&amp;Rent'!$D137="","",VLOOKUP($C137,'3A.Occpcy&amp;Rent'!$C$15:$L$414,5,FALSE))</f>
        <v/>
      </c>
      <c r="H137" s="1727"/>
      <c r="I137" s="1727"/>
      <c r="J137" s="1727"/>
      <c r="K137" s="1727"/>
      <c r="L137" s="1727"/>
      <c r="M137" s="1469"/>
      <c r="N137" s="1729"/>
      <c r="P137" s="1597">
        <f t="shared" si="3"/>
        <v>1</v>
      </c>
      <c r="Q137" s="1597">
        <f t="shared" si="5"/>
        <v>1</v>
      </c>
      <c r="R137">
        <f t="shared" si="4"/>
        <v>0</v>
      </c>
    </row>
    <row r="138" spans="3:18" ht="20.100000000000001" customHeight="1">
      <c r="C138" s="34">
        <v>124</v>
      </c>
      <c r="D138" s="1782" t="str">
        <f>IF('3A.Occpcy&amp;Rent'!$D138="","",VLOOKUP($C138,'3A.Occpcy&amp;Rent'!$C$15:$L$414,2,FALSE))</f>
        <v/>
      </c>
      <c r="E138" s="1783" t="str">
        <f>IF('3A.Occpcy&amp;Rent'!$D138="","",VLOOKUP($C138,'3A.Occpcy&amp;Rent'!$C$15:$L$414,3,FALSE))</f>
        <v/>
      </c>
      <c r="F138" s="1784" t="str">
        <f>IF('3A.Occpcy&amp;Rent'!$D138="","",VLOOKUP($C138,'3A.Occpcy&amp;Rent'!$C$15:$L$414,10,FALSE))</f>
        <v/>
      </c>
      <c r="G138" s="1785" t="str">
        <f>IF('3A.Occpcy&amp;Rent'!$D138="","",VLOOKUP($C138,'3A.Occpcy&amp;Rent'!$C$15:$L$414,5,FALSE))</f>
        <v/>
      </c>
      <c r="H138" s="1727"/>
      <c r="I138" s="1727"/>
      <c r="J138" s="1727"/>
      <c r="K138" s="1727"/>
      <c r="L138" s="1727"/>
      <c r="M138" s="1469"/>
      <c r="N138" s="1729"/>
      <c r="P138" s="1597">
        <f t="shared" si="3"/>
        <v>1</v>
      </c>
      <c r="Q138" s="1597">
        <f t="shared" si="5"/>
        <v>1</v>
      </c>
      <c r="R138">
        <f t="shared" si="4"/>
        <v>0</v>
      </c>
    </row>
    <row r="139" spans="3:18" ht="20.100000000000001" customHeight="1">
      <c r="C139" s="34">
        <v>125</v>
      </c>
      <c r="D139" s="1782" t="str">
        <f>IF('3A.Occpcy&amp;Rent'!$D139="","",VLOOKUP($C139,'3A.Occpcy&amp;Rent'!$C$15:$L$414,2,FALSE))</f>
        <v/>
      </c>
      <c r="E139" s="1783" t="str">
        <f>IF('3A.Occpcy&amp;Rent'!$D139="","",VLOOKUP($C139,'3A.Occpcy&amp;Rent'!$C$15:$L$414,3,FALSE))</f>
        <v/>
      </c>
      <c r="F139" s="1784" t="str">
        <f>IF('3A.Occpcy&amp;Rent'!$D139="","",VLOOKUP($C139,'3A.Occpcy&amp;Rent'!$C$15:$L$414,10,FALSE))</f>
        <v/>
      </c>
      <c r="G139" s="1785" t="str">
        <f>IF('3A.Occpcy&amp;Rent'!$D139="","",VLOOKUP($C139,'3A.Occpcy&amp;Rent'!$C$15:$L$414,5,FALSE))</f>
        <v/>
      </c>
      <c r="H139" s="1727"/>
      <c r="I139" s="1727"/>
      <c r="J139" s="1727"/>
      <c r="K139" s="1727"/>
      <c r="L139" s="1727"/>
      <c r="M139" s="1469"/>
      <c r="N139" s="1729"/>
      <c r="P139" s="1597">
        <f t="shared" si="3"/>
        <v>1</v>
      </c>
      <c r="Q139" s="1597">
        <f t="shared" si="5"/>
        <v>1</v>
      </c>
      <c r="R139">
        <f t="shared" si="4"/>
        <v>0</v>
      </c>
    </row>
    <row r="140" spans="3:18" ht="20.100000000000001" customHeight="1">
      <c r="C140" s="34">
        <v>126</v>
      </c>
      <c r="D140" s="1782" t="str">
        <f>IF('3A.Occpcy&amp;Rent'!$D140="","",VLOOKUP($C140,'3A.Occpcy&amp;Rent'!$C$15:$L$414,2,FALSE))</f>
        <v/>
      </c>
      <c r="E140" s="1783" t="str">
        <f>IF('3A.Occpcy&amp;Rent'!$D140="","",VLOOKUP($C140,'3A.Occpcy&amp;Rent'!$C$15:$L$414,3,FALSE))</f>
        <v/>
      </c>
      <c r="F140" s="1784" t="str">
        <f>IF('3A.Occpcy&amp;Rent'!$D140="","",VLOOKUP($C140,'3A.Occpcy&amp;Rent'!$C$15:$L$414,10,FALSE))</f>
        <v/>
      </c>
      <c r="G140" s="1785" t="str">
        <f>IF('3A.Occpcy&amp;Rent'!$D140="","",VLOOKUP($C140,'3A.Occpcy&amp;Rent'!$C$15:$L$414,5,FALSE))</f>
        <v/>
      </c>
      <c r="H140" s="1727"/>
      <c r="I140" s="1727"/>
      <c r="J140" s="1727"/>
      <c r="K140" s="1727"/>
      <c r="L140" s="1727"/>
      <c r="M140" s="1469"/>
      <c r="N140" s="1729"/>
      <c r="P140" s="1597">
        <f t="shared" si="3"/>
        <v>1</v>
      </c>
      <c r="Q140" s="1597">
        <f t="shared" si="5"/>
        <v>1</v>
      </c>
      <c r="R140">
        <f t="shared" si="4"/>
        <v>0</v>
      </c>
    </row>
    <row r="141" spans="3:18" ht="20.100000000000001" customHeight="1">
      <c r="C141" s="34">
        <v>127</v>
      </c>
      <c r="D141" s="1782" t="str">
        <f>IF('3A.Occpcy&amp;Rent'!$D141="","",VLOOKUP($C141,'3A.Occpcy&amp;Rent'!$C$15:$L$414,2,FALSE))</f>
        <v/>
      </c>
      <c r="E141" s="1783" t="str">
        <f>IF('3A.Occpcy&amp;Rent'!$D141="","",VLOOKUP($C141,'3A.Occpcy&amp;Rent'!$C$15:$L$414,3,FALSE))</f>
        <v/>
      </c>
      <c r="F141" s="1784" t="str">
        <f>IF('3A.Occpcy&amp;Rent'!$D141="","",VLOOKUP($C141,'3A.Occpcy&amp;Rent'!$C$15:$L$414,10,FALSE))</f>
        <v/>
      </c>
      <c r="G141" s="1785" t="str">
        <f>IF('3A.Occpcy&amp;Rent'!$D141="","",VLOOKUP($C141,'3A.Occpcy&amp;Rent'!$C$15:$L$414,5,FALSE))</f>
        <v/>
      </c>
      <c r="H141" s="1727"/>
      <c r="I141" s="1727"/>
      <c r="J141" s="1727"/>
      <c r="K141" s="1727"/>
      <c r="L141" s="1727"/>
      <c r="M141" s="1469"/>
      <c r="N141" s="1729"/>
      <c r="P141" s="1597">
        <f t="shared" si="3"/>
        <v>1</v>
      </c>
      <c r="Q141" s="1597">
        <f t="shared" si="5"/>
        <v>1</v>
      </c>
      <c r="R141">
        <f t="shared" si="4"/>
        <v>0</v>
      </c>
    </row>
    <row r="142" spans="3:18" ht="20.100000000000001" customHeight="1">
      <c r="C142" s="34">
        <v>128</v>
      </c>
      <c r="D142" s="1782" t="str">
        <f>IF('3A.Occpcy&amp;Rent'!$D142="","",VLOOKUP($C142,'3A.Occpcy&amp;Rent'!$C$15:$L$414,2,FALSE))</f>
        <v/>
      </c>
      <c r="E142" s="1783" t="str">
        <f>IF('3A.Occpcy&amp;Rent'!$D142="","",VLOOKUP($C142,'3A.Occpcy&amp;Rent'!$C$15:$L$414,3,FALSE))</f>
        <v/>
      </c>
      <c r="F142" s="1784" t="str">
        <f>IF('3A.Occpcy&amp;Rent'!$D142="","",VLOOKUP($C142,'3A.Occpcy&amp;Rent'!$C$15:$L$414,10,FALSE))</f>
        <v/>
      </c>
      <c r="G142" s="1785" t="str">
        <f>IF('3A.Occpcy&amp;Rent'!$D142="","",VLOOKUP($C142,'3A.Occpcy&amp;Rent'!$C$15:$L$414,5,FALSE))</f>
        <v/>
      </c>
      <c r="H142" s="1727"/>
      <c r="I142" s="1727"/>
      <c r="J142" s="1727"/>
      <c r="K142" s="1727"/>
      <c r="L142" s="1727"/>
      <c r="M142" s="1469"/>
      <c r="N142" s="1729"/>
      <c r="P142" s="1597">
        <f t="shared" si="3"/>
        <v>1</v>
      </c>
      <c r="Q142" s="1597">
        <f t="shared" si="5"/>
        <v>1</v>
      </c>
      <c r="R142">
        <f t="shared" si="4"/>
        <v>0</v>
      </c>
    </row>
    <row r="143" spans="3:18" ht="20.100000000000001" customHeight="1">
      <c r="C143" s="34">
        <v>129</v>
      </c>
      <c r="D143" s="1782" t="str">
        <f>IF('3A.Occpcy&amp;Rent'!$D143="","",VLOOKUP($C143,'3A.Occpcy&amp;Rent'!$C$15:$L$414,2,FALSE))</f>
        <v/>
      </c>
      <c r="E143" s="1783" t="str">
        <f>IF('3A.Occpcy&amp;Rent'!$D143="","",VLOOKUP($C143,'3A.Occpcy&amp;Rent'!$C$15:$L$414,3,FALSE))</f>
        <v/>
      </c>
      <c r="F143" s="1784" t="str">
        <f>IF('3A.Occpcy&amp;Rent'!$D143="","",VLOOKUP($C143,'3A.Occpcy&amp;Rent'!$C$15:$L$414,10,FALSE))</f>
        <v/>
      </c>
      <c r="G143" s="1785" t="str">
        <f>IF('3A.Occpcy&amp;Rent'!$D143="","",VLOOKUP($C143,'3A.Occpcy&amp;Rent'!$C$15:$L$414,5,FALSE))</f>
        <v/>
      </c>
      <c r="H143" s="1727"/>
      <c r="I143" s="1727"/>
      <c r="J143" s="1727"/>
      <c r="K143" s="1727"/>
      <c r="L143" s="1727"/>
      <c r="M143" s="1469"/>
      <c r="N143" s="1729"/>
      <c r="P143" s="1597">
        <f t="shared" ref="P143:P206" si="6">IF(AND(D143&lt;&gt;0,H143&lt;&gt;0,I143&lt;&gt;0),1,IF(AND(D143="",H143="",I143=""),1,0))</f>
        <v>1</v>
      </c>
      <c r="Q143" s="1597">
        <f t="shared" si="5"/>
        <v>1</v>
      </c>
      <c r="R143">
        <f t="shared" ref="R143:R206" si="7">IF(H143=$V$14,$V$14,IF(OR(AND(H143=$V$15,I143=$W$24),AND(H143=$V$16,I143=$W$24)),$W$24,IF(OR(AND(H143=$V$15,I143&lt;&gt;$W$24),AND(H143=$V$16,I143&lt;&gt;$W$24)),I143,0)))</f>
        <v>0</v>
      </c>
    </row>
    <row r="144" spans="3:18" ht="20.100000000000001" customHeight="1">
      <c r="C144" s="34">
        <v>130</v>
      </c>
      <c r="D144" s="1782" t="str">
        <f>IF('3A.Occpcy&amp;Rent'!$D144="","",VLOOKUP($C144,'3A.Occpcy&amp;Rent'!$C$15:$L$414,2,FALSE))</f>
        <v/>
      </c>
      <c r="E144" s="1783" t="str">
        <f>IF('3A.Occpcy&amp;Rent'!$D144="","",VLOOKUP($C144,'3A.Occpcy&amp;Rent'!$C$15:$L$414,3,FALSE))</f>
        <v/>
      </c>
      <c r="F144" s="1784" t="str">
        <f>IF('3A.Occpcy&amp;Rent'!$D144="","",VLOOKUP($C144,'3A.Occpcy&amp;Rent'!$C$15:$L$414,10,FALSE))</f>
        <v/>
      </c>
      <c r="G144" s="1785" t="str">
        <f>IF('3A.Occpcy&amp;Rent'!$D144="","",VLOOKUP($C144,'3A.Occpcy&amp;Rent'!$C$15:$L$414,5,FALSE))</f>
        <v/>
      </c>
      <c r="H144" s="1727"/>
      <c r="I144" s="1727"/>
      <c r="J144" s="1727"/>
      <c r="K144" s="1727"/>
      <c r="L144" s="1727"/>
      <c r="M144" s="1469"/>
      <c r="N144" s="1729"/>
      <c r="P144" s="1597">
        <f t="shared" si="6"/>
        <v>1</v>
      </c>
      <c r="Q144" s="1597">
        <f t="shared" ref="Q144:Q207" si="8">IF(AND(D144&lt;&gt;0,J144&lt;&gt;0,K144&lt;&gt;0),1,IF(AND(D144="",J144="",K144=""),1,0))</f>
        <v>1</v>
      </c>
      <c r="R144">
        <f t="shared" si="7"/>
        <v>0</v>
      </c>
    </row>
    <row r="145" spans="3:18" ht="20.100000000000001" customHeight="1">
      <c r="C145" s="34">
        <v>131</v>
      </c>
      <c r="D145" s="1782" t="str">
        <f>IF('3A.Occpcy&amp;Rent'!$D145="","",VLOOKUP($C145,'3A.Occpcy&amp;Rent'!$C$15:$L$414,2,FALSE))</f>
        <v/>
      </c>
      <c r="E145" s="1783" t="str">
        <f>IF('3A.Occpcy&amp;Rent'!$D145="","",VLOOKUP($C145,'3A.Occpcy&amp;Rent'!$C$15:$L$414,3,FALSE))</f>
        <v/>
      </c>
      <c r="F145" s="1784" t="str">
        <f>IF('3A.Occpcy&amp;Rent'!$D145="","",VLOOKUP($C145,'3A.Occpcy&amp;Rent'!$C$15:$L$414,10,FALSE))</f>
        <v/>
      </c>
      <c r="G145" s="1785" t="str">
        <f>IF('3A.Occpcy&amp;Rent'!$D145="","",VLOOKUP($C145,'3A.Occpcy&amp;Rent'!$C$15:$L$414,5,FALSE))</f>
        <v/>
      </c>
      <c r="H145" s="1727"/>
      <c r="I145" s="1727"/>
      <c r="J145" s="1727"/>
      <c r="K145" s="1727"/>
      <c r="L145" s="1727"/>
      <c r="M145" s="1469"/>
      <c r="N145" s="1729"/>
      <c r="P145" s="1597">
        <f t="shared" si="6"/>
        <v>1</v>
      </c>
      <c r="Q145" s="1597">
        <f t="shared" si="8"/>
        <v>1</v>
      </c>
      <c r="R145">
        <f t="shared" si="7"/>
        <v>0</v>
      </c>
    </row>
    <row r="146" spans="3:18" ht="20.100000000000001" customHeight="1">
      <c r="C146" s="34">
        <v>132</v>
      </c>
      <c r="D146" s="1782" t="str">
        <f>IF('3A.Occpcy&amp;Rent'!$D146="","",VLOOKUP($C146,'3A.Occpcy&amp;Rent'!$C$15:$L$414,2,FALSE))</f>
        <v/>
      </c>
      <c r="E146" s="1783" t="str">
        <f>IF('3A.Occpcy&amp;Rent'!$D146="","",VLOOKUP($C146,'3A.Occpcy&amp;Rent'!$C$15:$L$414,3,FALSE))</f>
        <v/>
      </c>
      <c r="F146" s="1784" t="str">
        <f>IF('3A.Occpcy&amp;Rent'!$D146="","",VLOOKUP($C146,'3A.Occpcy&amp;Rent'!$C$15:$L$414,10,FALSE))</f>
        <v/>
      </c>
      <c r="G146" s="1785" t="str">
        <f>IF('3A.Occpcy&amp;Rent'!$D146="","",VLOOKUP($C146,'3A.Occpcy&amp;Rent'!$C$15:$L$414,5,FALSE))</f>
        <v/>
      </c>
      <c r="H146" s="1727"/>
      <c r="I146" s="1727"/>
      <c r="J146" s="1727"/>
      <c r="K146" s="1727"/>
      <c r="L146" s="1727"/>
      <c r="M146" s="1469"/>
      <c r="N146" s="1729"/>
      <c r="P146" s="1597">
        <f t="shared" si="6"/>
        <v>1</v>
      </c>
      <c r="Q146" s="1597">
        <f t="shared" si="8"/>
        <v>1</v>
      </c>
      <c r="R146">
        <f t="shared" si="7"/>
        <v>0</v>
      </c>
    </row>
    <row r="147" spans="3:18" ht="20.100000000000001" customHeight="1">
      <c r="C147" s="34">
        <v>133</v>
      </c>
      <c r="D147" s="1782" t="str">
        <f>IF('3A.Occpcy&amp;Rent'!$D147="","",VLOOKUP($C147,'3A.Occpcy&amp;Rent'!$C$15:$L$414,2,FALSE))</f>
        <v/>
      </c>
      <c r="E147" s="1783" t="str">
        <f>IF('3A.Occpcy&amp;Rent'!$D147="","",VLOOKUP($C147,'3A.Occpcy&amp;Rent'!$C$15:$L$414,3,FALSE))</f>
        <v/>
      </c>
      <c r="F147" s="1784" t="str">
        <f>IF('3A.Occpcy&amp;Rent'!$D147="","",VLOOKUP($C147,'3A.Occpcy&amp;Rent'!$C$15:$L$414,10,FALSE))</f>
        <v/>
      </c>
      <c r="G147" s="1785" t="str">
        <f>IF('3A.Occpcy&amp;Rent'!$D147="","",VLOOKUP($C147,'3A.Occpcy&amp;Rent'!$C$15:$L$414,5,FALSE))</f>
        <v/>
      </c>
      <c r="H147" s="1727"/>
      <c r="I147" s="1727"/>
      <c r="J147" s="1727"/>
      <c r="K147" s="1727"/>
      <c r="L147" s="1727"/>
      <c r="M147" s="1469"/>
      <c r="N147" s="1729"/>
      <c r="P147" s="1597">
        <f t="shared" si="6"/>
        <v>1</v>
      </c>
      <c r="Q147" s="1597">
        <f t="shared" si="8"/>
        <v>1</v>
      </c>
      <c r="R147">
        <f t="shared" si="7"/>
        <v>0</v>
      </c>
    </row>
    <row r="148" spans="3:18" ht="20.100000000000001" customHeight="1">
      <c r="C148" s="34">
        <v>134</v>
      </c>
      <c r="D148" s="1782" t="str">
        <f>IF('3A.Occpcy&amp;Rent'!$D148="","",VLOOKUP($C148,'3A.Occpcy&amp;Rent'!$C$15:$L$414,2,FALSE))</f>
        <v/>
      </c>
      <c r="E148" s="1783" t="str">
        <f>IF('3A.Occpcy&amp;Rent'!$D148="","",VLOOKUP($C148,'3A.Occpcy&amp;Rent'!$C$15:$L$414,3,FALSE))</f>
        <v/>
      </c>
      <c r="F148" s="1784" t="str">
        <f>IF('3A.Occpcy&amp;Rent'!$D148="","",VLOOKUP($C148,'3A.Occpcy&amp;Rent'!$C$15:$L$414,10,FALSE))</f>
        <v/>
      </c>
      <c r="G148" s="1785" t="str">
        <f>IF('3A.Occpcy&amp;Rent'!$D148="","",VLOOKUP($C148,'3A.Occpcy&amp;Rent'!$C$15:$L$414,5,FALSE))</f>
        <v/>
      </c>
      <c r="H148" s="1727"/>
      <c r="I148" s="1727"/>
      <c r="J148" s="1727"/>
      <c r="K148" s="1727"/>
      <c r="L148" s="1727"/>
      <c r="M148" s="1469"/>
      <c r="N148" s="1729"/>
      <c r="P148" s="1597">
        <f t="shared" si="6"/>
        <v>1</v>
      </c>
      <c r="Q148" s="1597">
        <f t="shared" si="8"/>
        <v>1</v>
      </c>
      <c r="R148">
        <f t="shared" si="7"/>
        <v>0</v>
      </c>
    </row>
    <row r="149" spans="3:18" ht="20.100000000000001" customHeight="1">
      <c r="C149" s="34">
        <v>135</v>
      </c>
      <c r="D149" s="1782" t="str">
        <f>IF('3A.Occpcy&amp;Rent'!$D149="","",VLOOKUP($C149,'3A.Occpcy&amp;Rent'!$C$15:$L$414,2,FALSE))</f>
        <v/>
      </c>
      <c r="E149" s="1783" t="str">
        <f>IF('3A.Occpcy&amp;Rent'!$D149="","",VLOOKUP($C149,'3A.Occpcy&amp;Rent'!$C$15:$L$414,3,FALSE))</f>
        <v/>
      </c>
      <c r="F149" s="1784" t="str">
        <f>IF('3A.Occpcy&amp;Rent'!$D149="","",VLOOKUP($C149,'3A.Occpcy&amp;Rent'!$C$15:$L$414,10,FALSE))</f>
        <v/>
      </c>
      <c r="G149" s="1785" t="str">
        <f>IF('3A.Occpcy&amp;Rent'!$D149="","",VLOOKUP($C149,'3A.Occpcy&amp;Rent'!$C$15:$L$414,5,FALSE))</f>
        <v/>
      </c>
      <c r="H149" s="1727"/>
      <c r="I149" s="1727"/>
      <c r="J149" s="1727"/>
      <c r="K149" s="1727"/>
      <c r="L149" s="1727"/>
      <c r="M149" s="1469"/>
      <c r="N149" s="1729"/>
      <c r="P149" s="1597">
        <f t="shared" si="6"/>
        <v>1</v>
      </c>
      <c r="Q149" s="1597">
        <f t="shared" si="8"/>
        <v>1</v>
      </c>
      <c r="R149">
        <f t="shared" si="7"/>
        <v>0</v>
      </c>
    </row>
    <row r="150" spans="3:18" ht="20.100000000000001" customHeight="1">
      <c r="C150" s="34">
        <v>136</v>
      </c>
      <c r="D150" s="1782" t="str">
        <f>IF('3A.Occpcy&amp;Rent'!$D150="","",VLOOKUP($C150,'3A.Occpcy&amp;Rent'!$C$15:$L$414,2,FALSE))</f>
        <v/>
      </c>
      <c r="E150" s="1783" t="str">
        <f>IF('3A.Occpcy&amp;Rent'!$D150="","",VLOOKUP($C150,'3A.Occpcy&amp;Rent'!$C$15:$L$414,3,FALSE))</f>
        <v/>
      </c>
      <c r="F150" s="1784" t="str">
        <f>IF('3A.Occpcy&amp;Rent'!$D150="","",VLOOKUP($C150,'3A.Occpcy&amp;Rent'!$C$15:$L$414,10,FALSE))</f>
        <v/>
      </c>
      <c r="G150" s="1785" t="str">
        <f>IF('3A.Occpcy&amp;Rent'!$D150="","",VLOOKUP($C150,'3A.Occpcy&amp;Rent'!$C$15:$L$414,5,FALSE))</f>
        <v/>
      </c>
      <c r="H150" s="1727"/>
      <c r="I150" s="1727"/>
      <c r="J150" s="1727"/>
      <c r="K150" s="1727"/>
      <c r="L150" s="1727"/>
      <c r="M150" s="1469"/>
      <c r="N150" s="1729"/>
      <c r="P150" s="1597">
        <f t="shared" si="6"/>
        <v>1</v>
      </c>
      <c r="Q150" s="1597">
        <f t="shared" si="8"/>
        <v>1</v>
      </c>
      <c r="R150">
        <f t="shared" si="7"/>
        <v>0</v>
      </c>
    </row>
    <row r="151" spans="3:18" ht="20.100000000000001" customHeight="1">
      <c r="C151" s="34">
        <v>137</v>
      </c>
      <c r="D151" s="1782" t="str">
        <f>IF('3A.Occpcy&amp;Rent'!$D151="","",VLOOKUP($C151,'3A.Occpcy&amp;Rent'!$C$15:$L$414,2,FALSE))</f>
        <v/>
      </c>
      <c r="E151" s="1783" t="str">
        <f>IF('3A.Occpcy&amp;Rent'!$D151="","",VLOOKUP($C151,'3A.Occpcy&amp;Rent'!$C$15:$L$414,3,FALSE))</f>
        <v/>
      </c>
      <c r="F151" s="1784" t="str">
        <f>IF('3A.Occpcy&amp;Rent'!$D151="","",VLOOKUP($C151,'3A.Occpcy&amp;Rent'!$C$15:$L$414,10,FALSE))</f>
        <v/>
      </c>
      <c r="G151" s="1785" t="str">
        <f>IF('3A.Occpcy&amp;Rent'!$D151="","",VLOOKUP($C151,'3A.Occpcy&amp;Rent'!$C$15:$L$414,5,FALSE))</f>
        <v/>
      </c>
      <c r="H151" s="1727"/>
      <c r="I151" s="1727"/>
      <c r="J151" s="1727"/>
      <c r="K151" s="1727"/>
      <c r="L151" s="1727"/>
      <c r="M151" s="1469"/>
      <c r="N151" s="1729"/>
      <c r="P151" s="1597">
        <f t="shared" si="6"/>
        <v>1</v>
      </c>
      <c r="Q151" s="1597">
        <f t="shared" si="8"/>
        <v>1</v>
      </c>
      <c r="R151">
        <f t="shared" si="7"/>
        <v>0</v>
      </c>
    </row>
    <row r="152" spans="3:18" ht="20.100000000000001" customHeight="1">
      <c r="C152" s="34">
        <v>138</v>
      </c>
      <c r="D152" s="1782" t="str">
        <f>IF('3A.Occpcy&amp;Rent'!$D152="","",VLOOKUP($C152,'3A.Occpcy&amp;Rent'!$C$15:$L$414,2,FALSE))</f>
        <v/>
      </c>
      <c r="E152" s="1783" t="str">
        <f>IF('3A.Occpcy&amp;Rent'!$D152="","",VLOOKUP($C152,'3A.Occpcy&amp;Rent'!$C$15:$L$414,3,FALSE))</f>
        <v/>
      </c>
      <c r="F152" s="1784" t="str">
        <f>IF('3A.Occpcy&amp;Rent'!$D152="","",VLOOKUP($C152,'3A.Occpcy&amp;Rent'!$C$15:$L$414,10,FALSE))</f>
        <v/>
      </c>
      <c r="G152" s="1785" t="str">
        <f>IF('3A.Occpcy&amp;Rent'!$D152="","",VLOOKUP($C152,'3A.Occpcy&amp;Rent'!$C$15:$L$414,5,FALSE))</f>
        <v/>
      </c>
      <c r="H152" s="1727"/>
      <c r="I152" s="1727"/>
      <c r="J152" s="1727"/>
      <c r="K152" s="1727"/>
      <c r="L152" s="1727"/>
      <c r="M152" s="1469"/>
      <c r="N152" s="1729"/>
      <c r="P152" s="1597">
        <f t="shared" si="6"/>
        <v>1</v>
      </c>
      <c r="Q152" s="1597">
        <f t="shared" si="8"/>
        <v>1</v>
      </c>
      <c r="R152">
        <f t="shared" si="7"/>
        <v>0</v>
      </c>
    </row>
    <row r="153" spans="3:18" ht="20.100000000000001" customHeight="1">
      <c r="C153" s="34">
        <v>139</v>
      </c>
      <c r="D153" s="1782" t="str">
        <f>IF('3A.Occpcy&amp;Rent'!$D153="","",VLOOKUP($C153,'3A.Occpcy&amp;Rent'!$C$15:$L$414,2,FALSE))</f>
        <v/>
      </c>
      <c r="E153" s="1783" t="str">
        <f>IF('3A.Occpcy&amp;Rent'!$D153="","",VLOOKUP($C153,'3A.Occpcy&amp;Rent'!$C$15:$L$414,3,FALSE))</f>
        <v/>
      </c>
      <c r="F153" s="1784" t="str">
        <f>IF('3A.Occpcy&amp;Rent'!$D153="","",VLOOKUP($C153,'3A.Occpcy&amp;Rent'!$C$15:$L$414,10,FALSE))</f>
        <v/>
      </c>
      <c r="G153" s="1785" t="str">
        <f>IF('3A.Occpcy&amp;Rent'!$D153="","",VLOOKUP($C153,'3A.Occpcy&amp;Rent'!$C$15:$L$414,5,FALSE))</f>
        <v/>
      </c>
      <c r="H153" s="1727"/>
      <c r="I153" s="1727"/>
      <c r="J153" s="1727"/>
      <c r="K153" s="1727"/>
      <c r="L153" s="1727"/>
      <c r="M153" s="1469"/>
      <c r="N153" s="1729"/>
      <c r="P153" s="1597">
        <f t="shared" si="6"/>
        <v>1</v>
      </c>
      <c r="Q153" s="1597">
        <f t="shared" si="8"/>
        <v>1</v>
      </c>
      <c r="R153">
        <f t="shared" si="7"/>
        <v>0</v>
      </c>
    </row>
    <row r="154" spans="3:18" ht="20.100000000000001" customHeight="1">
      <c r="C154" s="34">
        <v>140</v>
      </c>
      <c r="D154" s="1782" t="str">
        <f>IF('3A.Occpcy&amp;Rent'!$D154="","",VLOOKUP($C154,'3A.Occpcy&amp;Rent'!$C$15:$L$414,2,FALSE))</f>
        <v/>
      </c>
      <c r="E154" s="1783" t="str">
        <f>IF('3A.Occpcy&amp;Rent'!$D154="","",VLOOKUP($C154,'3A.Occpcy&amp;Rent'!$C$15:$L$414,3,FALSE))</f>
        <v/>
      </c>
      <c r="F154" s="1784" t="str">
        <f>IF('3A.Occpcy&amp;Rent'!$D154="","",VLOOKUP($C154,'3A.Occpcy&amp;Rent'!$C$15:$L$414,10,FALSE))</f>
        <v/>
      </c>
      <c r="G154" s="1785" t="str">
        <f>IF('3A.Occpcy&amp;Rent'!$D154="","",VLOOKUP($C154,'3A.Occpcy&amp;Rent'!$C$15:$L$414,5,FALSE))</f>
        <v/>
      </c>
      <c r="H154" s="1727"/>
      <c r="I154" s="1727"/>
      <c r="J154" s="1727"/>
      <c r="K154" s="1727"/>
      <c r="L154" s="1727"/>
      <c r="M154" s="1469"/>
      <c r="N154" s="1729"/>
      <c r="P154" s="1597">
        <f t="shared" si="6"/>
        <v>1</v>
      </c>
      <c r="Q154" s="1597">
        <f t="shared" si="8"/>
        <v>1</v>
      </c>
      <c r="R154">
        <f t="shared" si="7"/>
        <v>0</v>
      </c>
    </row>
    <row r="155" spans="3:18" ht="20.100000000000001" customHeight="1">
      <c r="C155" s="34">
        <v>141</v>
      </c>
      <c r="D155" s="1782" t="str">
        <f>IF('3A.Occpcy&amp;Rent'!$D155="","",VLOOKUP($C155,'3A.Occpcy&amp;Rent'!$C$15:$L$414,2,FALSE))</f>
        <v/>
      </c>
      <c r="E155" s="1783" t="str">
        <f>IF('3A.Occpcy&amp;Rent'!$D155="","",VLOOKUP($C155,'3A.Occpcy&amp;Rent'!$C$15:$L$414,3,FALSE))</f>
        <v/>
      </c>
      <c r="F155" s="1784" t="str">
        <f>IF('3A.Occpcy&amp;Rent'!$D155="","",VLOOKUP($C155,'3A.Occpcy&amp;Rent'!$C$15:$L$414,10,FALSE))</f>
        <v/>
      </c>
      <c r="G155" s="1785" t="str">
        <f>IF('3A.Occpcy&amp;Rent'!$D155="","",VLOOKUP($C155,'3A.Occpcy&amp;Rent'!$C$15:$L$414,5,FALSE))</f>
        <v/>
      </c>
      <c r="H155" s="1727"/>
      <c r="I155" s="1727"/>
      <c r="J155" s="1727"/>
      <c r="K155" s="1727"/>
      <c r="L155" s="1727"/>
      <c r="M155" s="1469"/>
      <c r="N155" s="1729"/>
      <c r="P155" s="1597">
        <f t="shared" si="6"/>
        <v>1</v>
      </c>
      <c r="Q155" s="1597">
        <f t="shared" si="8"/>
        <v>1</v>
      </c>
      <c r="R155">
        <f t="shared" si="7"/>
        <v>0</v>
      </c>
    </row>
    <row r="156" spans="3:18" ht="20.100000000000001" customHeight="1">
      <c r="C156" s="34">
        <v>142</v>
      </c>
      <c r="D156" s="1782" t="str">
        <f>IF('3A.Occpcy&amp;Rent'!$D156="","",VLOOKUP($C156,'3A.Occpcy&amp;Rent'!$C$15:$L$414,2,FALSE))</f>
        <v/>
      </c>
      <c r="E156" s="1783" t="str">
        <f>IF('3A.Occpcy&amp;Rent'!$D156="","",VLOOKUP($C156,'3A.Occpcy&amp;Rent'!$C$15:$L$414,3,FALSE))</f>
        <v/>
      </c>
      <c r="F156" s="1784" t="str">
        <f>IF('3A.Occpcy&amp;Rent'!$D156="","",VLOOKUP($C156,'3A.Occpcy&amp;Rent'!$C$15:$L$414,10,FALSE))</f>
        <v/>
      </c>
      <c r="G156" s="1785" t="str">
        <f>IF('3A.Occpcy&amp;Rent'!$D156="","",VLOOKUP($C156,'3A.Occpcy&amp;Rent'!$C$15:$L$414,5,FALSE))</f>
        <v/>
      </c>
      <c r="H156" s="1727"/>
      <c r="I156" s="1727"/>
      <c r="J156" s="1727"/>
      <c r="K156" s="1727"/>
      <c r="L156" s="1727"/>
      <c r="M156" s="1469"/>
      <c r="N156" s="1729"/>
      <c r="P156" s="1597">
        <f t="shared" si="6"/>
        <v>1</v>
      </c>
      <c r="Q156" s="1597">
        <f t="shared" si="8"/>
        <v>1</v>
      </c>
      <c r="R156">
        <f t="shared" si="7"/>
        <v>0</v>
      </c>
    </row>
    <row r="157" spans="3:18" ht="20.100000000000001" customHeight="1">
      <c r="C157" s="34">
        <v>143</v>
      </c>
      <c r="D157" s="1782" t="str">
        <f>IF('3A.Occpcy&amp;Rent'!$D157="","",VLOOKUP($C157,'3A.Occpcy&amp;Rent'!$C$15:$L$414,2,FALSE))</f>
        <v/>
      </c>
      <c r="E157" s="1783" t="str">
        <f>IF('3A.Occpcy&amp;Rent'!$D157="","",VLOOKUP($C157,'3A.Occpcy&amp;Rent'!$C$15:$L$414,3,FALSE))</f>
        <v/>
      </c>
      <c r="F157" s="1784" t="str">
        <f>IF('3A.Occpcy&amp;Rent'!$D157="","",VLOOKUP($C157,'3A.Occpcy&amp;Rent'!$C$15:$L$414,10,FALSE))</f>
        <v/>
      </c>
      <c r="G157" s="1785" t="str">
        <f>IF('3A.Occpcy&amp;Rent'!$D157="","",VLOOKUP($C157,'3A.Occpcy&amp;Rent'!$C$15:$L$414,5,FALSE))</f>
        <v/>
      </c>
      <c r="H157" s="1727"/>
      <c r="I157" s="1727"/>
      <c r="J157" s="1727"/>
      <c r="K157" s="1727"/>
      <c r="L157" s="1727"/>
      <c r="M157" s="1469"/>
      <c r="N157" s="1729"/>
      <c r="P157" s="1597">
        <f t="shared" si="6"/>
        <v>1</v>
      </c>
      <c r="Q157" s="1597">
        <f t="shared" si="8"/>
        <v>1</v>
      </c>
      <c r="R157">
        <f t="shared" si="7"/>
        <v>0</v>
      </c>
    </row>
    <row r="158" spans="3:18" ht="20.100000000000001" customHeight="1">
      <c r="C158" s="34">
        <v>144</v>
      </c>
      <c r="D158" s="1782" t="str">
        <f>IF('3A.Occpcy&amp;Rent'!$D158="","",VLOOKUP($C158,'3A.Occpcy&amp;Rent'!$C$15:$L$414,2,FALSE))</f>
        <v/>
      </c>
      <c r="E158" s="1783" t="str">
        <f>IF('3A.Occpcy&amp;Rent'!$D158="","",VLOOKUP($C158,'3A.Occpcy&amp;Rent'!$C$15:$L$414,3,FALSE))</f>
        <v/>
      </c>
      <c r="F158" s="1784" t="str">
        <f>IF('3A.Occpcy&amp;Rent'!$D158="","",VLOOKUP($C158,'3A.Occpcy&amp;Rent'!$C$15:$L$414,10,FALSE))</f>
        <v/>
      </c>
      <c r="G158" s="1785" t="str">
        <f>IF('3A.Occpcy&amp;Rent'!$D158="","",VLOOKUP($C158,'3A.Occpcy&amp;Rent'!$C$15:$L$414,5,FALSE))</f>
        <v/>
      </c>
      <c r="H158" s="1727"/>
      <c r="I158" s="1727"/>
      <c r="J158" s="1727"/>
      <c r="K158" s="1727"/>
      <c r="L158" s="1727"/>
      <c r="M158" s="1469"/>
      <c r="N158" s="1729"/>
      <c r="P158" s="1597">
        <f t="shared" si="6"/>
        <v>1</v>
      </c>
      <c r="Q158" s="1597">
        <f t="shared" si="8"/>
        <v>1</v>
      </c>
      <c r="R158">
        <f t="shared" si="7"/>
        <v>0</v>
      </c>
    </row>
    <row r="159" spans="3:18" ht="20.100000000000001" customHeight="1">
      <c r="C159" s="34">
        <v>145</v>
      </c>
      <c r="D159" s="1782" t="str">
        <f>IF('3A.Occpcy&amp;Rent'!$D159="","",VLOOKUP($C159,'3A.Occpcy&amp;Rent'!$C$15:$L$414,2,FALSE))</f>
        <v/>
      </c>
      <c r="E159" s="1783" t="str">
        <f>IF('3A.Occpcy&amp;Rent'!$D159="","",VLOOKUP($C159,'3A.Occpcy&amp;Rent'!$C$15:$L$414,3,FALSE))</f>
        <v/>
      </c>
      <c r="F159" s="1784" t="str">
        <f>IF('3A.Occpcy&amp;Rent'!$D159="","",VLOOKUP($C159,'3A.Occpcy&amp;Rent'!$C$15:$L$414,10,FALSE))</f>
        <v/>
      </c>
      <c r="G159" s="1785" t="str">
        <f>IF('3A.Occpcy&amp;Rent'!$D159="","",VLOOKUP($C159,'3A.Occpcy&amp;Rent'!$C$15:$L$414,5,FALSE))</f>
        <v/>
      </c>
      <c r="H159" s="1727"/>
      <c r="I159" s="1727"/>
      <c r="J159" s="1727"/>
      <c r="K159" s="1727"/>
      <c r="L159" s="1727"/>
      <c r="M159" s="1469"/>
      <c r="N159" s="1729"/>
      <c r="P159" s="1597">
        <f t="shared" si="6"/>
        <v>1</v>
      </c>
      <c r="Q159" s="1597">
        <f t="shared" si="8"/>
        <v>1</v>
      </c>
      <c r="R159">
        <f t="shared" si="7"/>
        <v>0</v>
      </c>
    </row>
    <row r="160" spans="3:18" ht="20.100000000000001" customHeight="1">
      <c r="C160" s="34">
        <v>146</v>
      </c>
      <c r="D160" s="1782" t="str">
        <f>IF('3A.Occpcy&amp;Rent'!$D160="","",VLOOKUP($C160,'3A.Occpcy&amp;Rent'!$C$15:$L$414,2,FALSE))</f>
        <v/>
      </c>
      <c r="E160" s="1783" t="str">
        <f>IF('3A.Occpcy&amp;Rent'!$D160="","",VLOOKUP($C160,'3A.Occpcy&amp;Rent'!$C$15:$L$414,3,FALSE))</f>
        <v/>
      </c>
      <c r="F160" s="1784" t="str">
        <f>IF('3A.Occpcy&amp;Rent'!$D160="","",VLOOKUP($C160,'3A.Occpcy&amp;Rent'!$C$15:$L$414,10,FALSE))</f>
        <v/>
      </c>
      <c r="G160" s="1785" t="str">
        <f>IF('3A.Occpcy&amp;Rent'!$D160="","",VLOOKUP($C160,'3A.Occpcy&amp;Rent'!$C$15:$L$414,5,FALSE))</f>
        <v/>
      </c>
      <c r="H160" s="1727"/>
      <c r="I160" s="1727"/>
      <c r="J160" s="1727"/>
      <c r="K160" s="1727"/>
      <c r="L160" s="1727"/>
      <c r="M160" s="1469"/>
      <c r="N160" s="1729"/>
      <c r="P160" s="1597">
        <f t="shared" si="6"/>
        <v>1</v>
      </c>
      <c r="Q160" s="1597">
        <f t="shared" si="8"/>
        <v>1</v>
      </c>
      <c r="R160">
        <f t="shared" si="7"/>
        <v>0</v>
      </c>
    </row>
    <row r="161" spans="3:18" ht="20.100000000000001" customHeight="1">
      <c r="C161" s="34">
        <v>147</v>
      </c>
      <c r="D161" s="1782" t="str">
        <f>IF('3A.Occpcy&amp;Rent'!$D161="","",VLOOKUP($C161,'3A.Occpcy&amp;Rent'!$C$15:$L$414,2,FALSE))</f>
        <v/>
      </c>
      <c r="E161" s="1783" t="str">
        <f>IF('3A.Occpcy&amp;Rent'!$D161="","",VLOOKUP($C161,'3A.Occpcy&amp;Rent'!$C$15:$L$414,3,FALSE))</f>
        <v/>
      </c>
      <c r="F161" s="1784" t="str">
        <f>IF('3A.Occpcy&amp;Rent'!$D161="","",VLOOKUP($C161,'3A.Occpcy&amp;Rent'!$C$15:$L$414,10,FALSE))</f>
        <v/>
      </c>
      <c r="G161" s="1785" t="str">
        <f>IF('3A.Occpcy&amp;Rent'!$D161="","",VLOOKUP($C161,'3A.Occpcy&amp;Rent'!$C$15:$L$414,5,FALSE))</f>
        <v/>
      </c>
      <c r="H161" s="1727"/>
      <c r="I161" s="1727"/>
      <c r="J161" s="1727"/>
      <c r="K161" s="1727"/>
      <c r="L161" s="1727"/>
      <c r="M161" s="1469"/>
      <c r="N161" s="1729"/>
      <c r="P161" s="1597">
        <f t="shared" si="6"/>
        <v>1</v>
      </c>
      <c r="Q161" s="1597">
        <f t="shared" si="8"/>
        <v>1</v>
      </c>
      <c r="R161">
        <f t="shared" si="7"/>
        <v>0</v>
      </c>
    </row>
    <row r="162" spans="3:18" ht="20.100000000000001" customHeight="1">
      <c r="C162" s="34">
        <v>148</v>
      </c>
      <c r="D162" s="1782" t="str">
        <f>IF('3A.Occpcy&amp;Rent'!$D162="","",VLOOKUP($C162,'3A.Occpcy&amp;Rent'!$C$15:$L$414,2,FALSE))</f>
        <v/>
      </c>
      <c r="E162" s="1783" t="str">
        <f>IF('3A.Occpcy&amp;Rent'!$D162="","",VLOOKUP($C162,'3A.Occpcy&amp;Rent'!$C$15:$L$414,3,FALSE))</f>
        <v/>
      </c>
      <c r="F162" s="1784" t="str">
        <f>IF('3A.Occpcy&amp;Rent'!$D162="","",VLOOKUP($C162,'3A.Occpcy&amp;Rent'!$C$15:$L$414,10,FALSE))</f>
        <v/>
      </c>
      <c r="G162" s="1785" t="str">
        <f>IF('3A.Occpcy&amp;Rent'!$D162="","",VLOOKUP($C162,'3A.Occpcy&amp;Rent'!$C$15:$L$414,5,FALSE))</f>
        <v/>
      </c>
      <c r="H162" s="1727"/>
      <c r="I162" s="1727"/>
      <c r="J162" s="1727"/>
      <c r="K162" s="1727"/>
      <c r="L162" s="1727"/>
      <c r="M162" s="1469"/>
      <c r="N162" s="1729"/>
      <c r="P162" s="1597">
        <f t="shared" si="6"/>
        <v>1</v>
      </c>
      <c r="Q162" s="1597">
        <f t="shared" si="8"/>
        <v>1</v>
      </c>
      <c r="R162">
        <f t="shared" si="7"/>
        <v>0</v>
      </c>
    </row>
    <row r="163" spans="3:18" ht="20.100000000000001" customHeight="1">
      <c r="C163" s="34">
        <v>149</v>
      </c>
      <c r="D163" s="1782" t="str">
        <f>IF('3A.Occpcy&amp;Rent'!$D163="","",VLOOKUP($C163,'3A.Occpcy&amp;Rent'!$C$15:$L$414,2,FALSE))</f>
        <v/>
      </c>
      <c r="E163" s="1783" t="str">
        <f>IF('3A.Occpcy&amp;Rent'!$D163="","",VLOOKUP($C163,'3A.Occpcy&amp;Rent'!$C$15:$L$414,3,FALSE))</f>
        <v/>
      </c>
      <c r="F163" s="1784" t="str">
        <f>IF('3A.Occpcy&amp;Rent'!$D163="","",VLOOKUP($C163,'3A.Occpcy&amp;Rent'!$C$15:$L$414,10,FALSE))</f>
        <v/>
      </c>
      <c r="G163" s="1785" t="str">
        <f>IF('3A.Occpcy&amp;Rent'!$D163="","",VLOOKUP($C163,'3A.Occpcy&amp;Rent'!$C$15:$L$414,5,FALSE))</f>
        <v/>
      </c>
      <c r="H163" s="1727"/>
      <c r="I163" s="1727"/>
      <c r="J163" s="1727"/>
      <c r="K163" s="1727"/>
      <c r="L163" s="1727"/>
      <c r="M163" s="1469"/>
      <c r="N163" s="1729"/>
      <c r="P163" s="1597">
        <f t="shared" si="6"/>
        <v>1</v>
      </c>
      <c r="Q163" s="1597">
        <f t="shared" si="8"/>
        <v>1</v>
      </c>
      <c r="R163">
        <f t="shared" si="7"/>
        <v>0</v>
      </c>
    </row>
    <row r="164" spans="3:18" ht="20.100000000000001" customHeight="1">
      <c r="C164" s="34">
        <v>150</v>
      </c>
      <c r="D164" s="1782" t="str">
        <f>IF('3A.Occpcy&amp;Rent'!$D164="","",VLOOKUP($C164,'3A.Occpcy&amp;Rent'!$C$15:$L$414,2,FALSE))</f>
        <v/>
      </c>
      <c r="E164" s="1783" t="str">
        <f>IF('3A.Occpcy&amp;Rent'!$D164="","",VLOOKUP($C164,'3A.Occpcy&amp;Rent'!$C$15:$L$414,3,FALSE))</f>
        <v/>
      </c>
      <c r="F164" s="1784" t="str">
        <f>IF('3A.Occpcy&amp;Rent'!$D164="","",VLOOKUP($C164,'3A.Occpcy&amp;Rent'!$C$15:$L$414,10,FALSE))</f>
        <v/>
      </c>
      <c r="G164" s="1785" t="str">
        <f>IF('3A.Occpcy&amp;Rent'!$D164="","",VLOOKUP($C164,'3A.Occpcy&amp;Rent'!$C$15:$L$414,5,FALSE))</f>
        <v/>
      </c>
      <c r="H164" s="1727"/>
      <c r="I164" s="1727"/>
      <c r="J164" s="1727"/>
      <c r="K164" s="1727"/>
      <c r="L164" s="1727"/>
      <c r="M164" s="1469"/>
      <c r="N164" s="1729"/>
      <c r="P164" s="1597">
        <f t="shared" si="6"/>
        <v>1</v>
      </c>
      <c r="Q164" s="1597">
        <f t="shared" si="8"/>
        <v>1</v>
      </c>
      <c r="R164">
        <f t="shared" si="7"/>
        <v>0</v>
      </c>
    </row>
    <row r="165" spans="3:18" ht="20.100000000000001" customHeight="1">
      <c r="C165" s="34">
        <v>151</v>
      </c>
      <c r="D165" s="1782" t="str">
        <f>IF('3A.Occpcy&amp;Rent'!$D165="","",VLOOKUP($C165,'3A.Occpcy&amp;Rent'!$C$15:$L$414,2,FALSE))</f>
        <v/>
      </c>
      <c r="E165" s="1783" t="str">
        <f>IF('3A.Occpcy&amp;Rent'!$D165="","",VLOOKUP($C165,'3A.Occpcy&amp;Rent'!$C$15:$L$414,3,FALSE))</f>
        <v/>
      </c>
      <c r="F165" s="1784" t="str">
        <f>IF('3A.Occpcy&amp;Rent'!$D165="","",VLOOKUP($C165,'3A.Occpcy&amp;Rent'!$C$15:$L$414,10,FALSE))</f>
        <v/>
      </c>
      <c r="G165" s="1785" t="str">
        <f>IF('3A.Occpcy&amp;Rent'!$D165="","",VLOOKUP($C165,'3A.Occpcy&amp;Rent'!$C$15:$L$414,5,FALSE))</f>
        <v/>
      </c>
      <c r="H165" s="1727"/>
      <c r="I165" s="1727"/>
      <c r="J165" s="1727"/>
      <c r="K165" s="1727"/>
      <c r="L165" s="1727"/>
      <c r="M165" s="1469"/>
      <c r="N165" s="1729"/>
      <c r="P165" s="1597">
        <f t="shared" si="6"/>
        <v>1</v>
      </c>
      <c r="Q165" s="1597">
        <f t="shared" si="8"/>
        <v>1</v>
      </c>
      <c r="R165">
        <f t="shared" si="7"/>
        <v>0</v>
      </c>
    </row>
    <row r="166" spans="3:18" ht="20.100000000000001" customHeight="1">
      <c r="C166" s="34">
        <v>152</v>
      </c>
      <c r="D166" s="1782" t="str">
        <f>IF('3A.Occpcy&amp;Rent'!$D166="","",VLOOKUP($C166,'3A.Occpcy&amp;Rent'!$C$15:$L$414,2,FALSE))</f>
        <v/>
      </c>
      <c r="E166" s="1783" t="str">
        <f>IF('3A.Occpcy&amp;Rent'!$D166="","",VLOOKUP($C166,'3A.Occpcy&amp;Rent'!$C$15:$L$414,3,FALSE))</f>
        <v/>
      </c>
      <c r="F166" s="1784" t="str">
        <f>IF('3A.Occpcy&amp;Rent'!$D166="","",VLOOKUP($C166,'3A.Occpcy&amp;Rent'!$C$15:$L$414,10,FALSE))</f>
        <v/>
      </c>
      <c r="G166" s="1785" t="str">
        <f>IF('3A.Occpcy&amp;Rent'!$D166="","",VLOOKUP($C166,'3A.Occpcy&amp;Rent'!$C$15:$L$414,5,FALSE))</f>
        <v/>
      </c>
      <c r="H166" s="1727"/>
      <c r="I166" s="1727"/>
      <c r="J166" s="1727"/>
      <c r="K166" s="1727"/>
      <c r="L166" s="1727"/>
      <c r="M166" s="1469"/>
      <c r="N166" s="1729"/>
      <c r="P166" s="1597">
        <f t="shared" si="6"/>
        <v>1</v>
      </c>
      <c r="Q166" s="1597">
        <f t="shared" si="8"/>
        <v>1</v>
      </c>
      <c r="R166">
        <f t="shared" si="7"/>
        <v>0</v>
      </c>
    </row>
    <row r="167" spans="3:18" ht="20.100000000000001" customHeight="1">
      <c r="C167" s="34">
        <v>153</v>
      </c>
      <c r="D167" s="1782" t="str">
        <f>IF('3A.Occpcy&amp;Rent'!$D167="","",VLOOKUP($C167,'3A.Occpcy&amp;Rent'!$C$15:$L$414,2,FALSE))</f>
        <v/>
      </c>
      <c r="E167" s="1783" t="str">
        <f>IF('3A.Occpcy&amp;Rent'!$D167="","",VLOOKUP($C167,'3A.Occpcy&amp;Rent'!$C$15:$L$414,3,FALSE))</f>
        <v/>
      </c>
      <c r="F167" s="1784" t="str">
        <f>IF('3A.Occpcy&amp;Rent'!$D167="","",VLOOKUP($C167,'3A.Occpcy&amp;Rent'!$C$15:$L$414,10,FALSE))</f>
        <v/>
      </c>
      <c r="G167" s="1785" t="str">
        <f>IF('3A.Occpcy&amp;Rent'!$D167="","",VLOOKUP($C167,'3A.Occpcy&amp;Rent'!$C$15:$L$414,5,FALSE))</f>
        <v/>
      </c>
      <c r="H167" s="1727"/>
      <c r="I167" s="1727"/>
      <c r="J167" s="1727"/>
      <c r="K167" s="1727"/>
      <c r="L167" s="1727"/>
      <c r="M167" s="1469"/>
      <c r="N167" s="1729"/>
      <c r="P167" s="1597">
        <f t="shared" si="6"/>
        <v>1</v>
      </c>
      <c r="Q167" s="1597">
        <f t="shared" si="8"/>
        <v>1</v>
      </c>
      <c r="R167">
        <f t="shared" si="7"/>
        <v>0</v>
      </c>
    </row>
    <row r="168" spans="3:18" ht="20.100000000000001" customHeight="1">
      <c r="C168" s="34">
        <v>154</v>
      </c>
      <c r="D168" s="1782" t="str">
        <f>IF('3A.Occpcy&amp;Rent'!$D168="","",VLOOKUP($C168,'3A.Occpcy&amp;Rent'!$C$15:$L$414,2,FALSE))</f>
        <v/>
      </c>
      <c r="E168" s="1783" t="str">
        <f>IF('3A.Occpcy&amp;Rent'!$D168="","",VLOOKUP($C168,'3A.Occpcy&amp;Rent'!$C$15:$L$414,3,FALSE))</f>
        <v/>
      </c>
      <c r="F168" s="1784" t="str">
        <f>IF('3A.Occpcy&amp;Rent'!$D168="","",VLOOKUP($C168,'3A.Occpcy&amp;Rent'!$C$15:$L$414,10,FALSE))</f>
        <v/>
      </c>
      <c r="G168" s="1785" t="str">
        <f>IF('3A.Occpcy&amp;Rent'!$D168="","",VLOOKUP($C168,'3A.Occpcy&amp;Rent'!$C$15:$L$414,5,FALSE))</f>
        <v/>
      </c>
      <c r="H168" s="1727"/>
      <c r="I168" s="1727"/>
      <c r="J168" s="1727"/>
      <c r="K168" s="1727"/>
      <c r="L168" s="1727"/>
      <c r="M168" s="1469"/>
      <c r="N168" s="1729"/>
      <c r="P168" s="1597">
        <f t="shared" si="6"/>
        <v>1</v>
      </c>
      <c r="Q168" s="1597">
        <f t="shared" si="8"/>
        <v>1</v>
      </c>
      <c r="R168">
        <f t="shared" si="7"/>
        <v>0</v>
      </c>
    </row>
    <row r="169" spans="3:18" ht="20.100000000000001" customHeight="1">
      <c r="C169" s="34">
        <v>155</v>
      </c>
      <c r="D169" s="1782" t="str">
        <f>IF('3A.Occpcy&amp;Rent'!$D169="","",VLOOKUP($C169,'3A.Occpcy&amp;Rent'!$C$15:$L$414,2,FALSE))</f>
        <v/>
      </c>
      <c r="E169" s="1783" t="str">
        <f>IF('3A.Occpcy&amp;Rent'!$D169="","",VLOOKUP($C169,'3A.Occpcy&amp;Rent'!$C$15:$L$414,3,FALSE))</f>
        <v/>
      </c>
      <c r="F169" s="1784" t="str">
        <f>IF('3A.Occpcy&amp;Rent'!$D169="","",VLOOKUP($C169,'3A.Occpcy&amp;Rent'!$C$15:$L$414,10,FALSE))</f>
        <v/>
      </c>
      <c r="G169" s="1785" t="str">
        <f>IF('3A.Occpcy&amp;Rent'!$D169="","",VLOOKUP($C169,'3A.Occpcy&amp;Rent'!$C$15:$L$414,5,FALSE))</f>
        <v/>
      </c>
      <c r="H169" s="1727"/>
      <c r="I169" s="1727"/>
      <c r="J169" s="1727"/>
      <c r="K169" s="1727"/>
      <c r="L169" s="1727"/>
      <c r="M169" s="1469"/>
      <c r="N169" s="1729"/>
      <c r="P169" s="1597">
        <f t="shared" si="6"/>
        <v>1</v>
      </c>
      <c r="Q169" s="1597">
        <f t="shared" si="8"/>
        <v>1</v>
      </c>
      <c r="R169">
        <f t="shared" si="7"/>
        <v>0</v>
      </c>
    </row>
    <row r="170" spans="3:18" ht="20.100000000000001" customHeight="1">
      <c r="C170" s="34">
        <v>156</v>
      </c>
      <c r="D170" s="1782" t="str">
        <f>IF('3A.Occpcy&amp;Rent'!$D170="","",VLOOKUP($C170,'3A.Occpcy&amp;Rent'!$C$15:$L$414,2,FALSE))</f>
        <v/>
      </c>
      <c r="E170" s="1783" t="str">
        <f>IF('3A.Occpcy&amp;Rent'!$D170="","",VLOOKUP($C170,'3A.Occpcy&amp;Rent'!$C$15:$L$414,3,FALSE))</f>
        <v/>
      </c>
      <c r="F170" s="1784" t="str">
        <f>IF('3A.Occpcy&amp;Rent'!$D170="","",VLOOKUP($C170,'3A.Occpcy&amp;Rent'!$C$15:$L$414,10,FALSE))</f>
        <v/>
      </c>
      <c r="G170" s="1785" t="str">
        <f>IF('3A.Occpcy&amp;Rent'!$D170="","",VLOOKUP($C170,'3A.Occpcy&amp;Rent'!$C$15:$L$414,5,FALSE))</f>
        <v/>
      </c>
      <c r="H170" s="1727"/>
      <c r="I170" s="1727"/>
      <c r="J170" s="1727"/>
      <c r="K170" s="1727"/>
      <c r="L170" s="1727"/>
      <c r="M170" s="1469"/>
      <c r="N170" s="1729"/>
      <c r="P170" s="1597">
        <f t="shared" si="6"/>
        <v>1</v>
      </c>
      <c r="Q170" s="1597">
        <f t="shared" si="8"/>
        <v>1</v>
      </c>
      <c r="R170">
        <f t="shared" si="7"/>
        <v>0</v>
      </c>
    </row>
    <row r="171" spans="3:18" ht="20.100000000000001" customHeight="1">
      <c r="C171" s="34">
        <v>157</v>
      </c>
      <c r="D171" s="1782" t="str">
        <f>IF('3A.Occpcy&amp;Rent'!$D171="","",VLOOKUP($C171,'3A.Occpcy&amp;Rent'!$C$15:$L$414,2,FALSE))</f>
        <v/>
      </c>
      <c r="E171" s="1783" t="str">
        <f>IF('3A.Occpcy&amp;Rent'!$D171="","",VLOOKUP($C171,'3A.Occpcy&amp;Rent'!$C$15:$L$414,3,FALSE))</f>
        <v/>
      </c>
      <c r="F171" s="1784" t="str">
        <f>IF('3A.Occpcy&amp;Rent'!$D171="","",VLOOKUP($C171,'3A.Occpcy&amp;Rent'!$C$15:$L$414,10,FALSE))</f>
        <v/>
      </c>
      <c r="G171" s="1785" t="str">
        <f>IF('3A.Occpcy&amp;Rent'!$D171="","",VLOOKUP($C171,'3A.Occpcy&amp;Rent'!$C$15:$L$414,5,FALSE))</f>
        <v/>
      </c>
      <c r="H171" s="1727"/>
      <c r="I171" s="1727"/>
      <c r="J171" s="1727"/>
      <c r="K171" s="1727"/>
      <c r="L171" s="1727"/>
      <c r="M171" s="1469"/>
      <c r="N171" s="1729"/>
      <c r="P171" s="1597">
        <f t="shared" si="6"/>
        <v>1</v>
      </c>
      <c r="Q171" s="1597">
        <f t="shared" si="8"/>
        <v>1</v>
      </c>
      <c r="R171">
        <f t="shared" si="7"/>
        <v>0</v>
      </c>
    </row>
    <row r="172" spans="3:18" ht="20.100000000000001" customHeight="1">
      <c r="C172" s="34">
        <v>158</v>
      </c>
      <c r="D172" s="1782" t="str">
        <f>IF('3A.Occpcy&amp;Rent'!$D172="","",VLOOKUP($C172,'3A.Occpcy&amp;Rent'!$C$15:$L$414,2,FALSE))</f>
        <v/>
      </c>
      <c r="E172" s="1783" t="str">
        <f>IF('3A.Occpcy&amp;Rent'!$D172="","",VLOOKUP($C172,'3A.Occpcy&amp;Rent'!$C$15:$L$414,3,FALSE))</f>
        <v/>
      </c>
      <c r="F172" s="1784" t="str">
        <f>IF('3A.Occpcy&amp;Rent'!$D172="","",VLOOKUP($C172,'3A.Occpcy&amp;Rent'!$C$15:$L$414,10,FALSE))</f>
        <v/>
      </c>
      <c r="G172" s="1785" t="str">
        <f>IF('3A.Occpcy&amp;Rent'!$D172="","",VLOOKUP($C172,'3A.Occpcy&amp;Rent'!$C$15:$L$414,5,FALSE))</f>
        <v/>
      </c>
      <c r="H172" s="1727"/>
      <c r="I172" s="1727"/>
      <c r="J172" s="1727"/>
      <c r="K172" s="1727"/>
      <c r="L172" s="1727"/>
      <c r="M172" s="1469"/>
      <c r="N172" s="1729"/>
      <c r="P172" s="1597">
        <f t="shared" si="6"/>
        <v>1</v>
      </c>
      <c r="Q172" s="1597">
        <f t="shared" si="8"/>
        <v>1</v>
      </c>
      <c r="R172">
        <f t="shared" si="7"/>
        <v>0</v>
      </c>
    </row>
    <row r="173" spans="3:18" ht="20.100000000000001" customHeight="1">
      <c r="C173" s="34">
        <v>159</v>
      </c>
      <c r="D173" s="1782" t="str">
        <f>IF('3A.Occpcy&amp;Rent'!$D173="","",VLOOKUP($C173,'3A.Occpcy&amp;Rent'!$C$15:$L$414,2,FALSE))</f>
        <v/>
      </c>
      <c r="E173" s="1783" t="str">
        <f>IF('3A.Occpcy&amp;Rent'!$D173="","",VLOOKUP($C173,'3A.Occpcy&amp;Rent'!$C$15:$L$414,3,FALSE))</f>
        <v/>
      </c>
      <c r="F173" s="1784" t="str">
        <f>IF('3A.Occpcy&amp;Rent'!$D173="","",VLOOKUP($C173,'3A.Occpcy&amp;Rent'!$C$15:$L$414,10,FALSE))</f>
        <v/>
      </c>
      <c r="G173" s="1785" t="str">
        <f>IF('3A.Occpcy&amp;Rent'!$D173="","",VLOOKUP($C173,'3A.Occpcy&amp;Rent'!$C$15:$L$414,5,FALSE))</f>
        <v/>
      </c>
      <c r="H173" s="1727"/>
      <c r="I173" s="1727"/>
      <c r="J173" s="1727"/>
      <c r="K173" s="1727"/>
      <c r="L173" s="1727"/>
      <c r="M173" s="1469"/>
      <c r="N173" s="1729"/>
      <c r="P173" s="1597">
        <f t="shared" si="6"/>
        <v>1</v>
      </c>
      <c r="Q173" s="1597">
        <f t="shared" si="8"/>
        <v>1</v>
      </c>
      <c r="R173">
        <f t="shared" si="7"/>
        <v>0</v>
      </c>
    </row>
    <row r="174" spans="3:18" ht="20.100000000000001" customHeight="1">
      <c r="C174" s="34">
        <v>160</v>
      </c>
      <c r="D174" s="1782" t="str">
        <f>IF('3A.Occpcy&amp;Rent'!$D174="","",VLOOKUP($C174,'3A.Occpcy&amp;Rent'!$C$15:$L$414,2,FALSE))</f>
        <v/>
      </c>
      <c r="E174" s="1783" t="str">
        <f>IF('3A.Occpcy&amp;Rent'!$D174="","",VLOOKUP($C174,'3A.Occpcy&amp;Rent'!$C$15:$L$414,3,FALSE))</f>
        <v/>
      </c>
      <c r="F174" s="1784" t="str">
        <f>IF('3A.Occpcy&amp;Rent'!$D174="","",VLOOKUP($C174,'3A.Occpcy&amp;Rent'!$C$15:$L$414,10,FALSE))</f>
        <v/>
      </c>
      <c r="G174" s="1785" t="str">
        <f>IF('3A.Occpcy&amp;Rent'!$D174="","",VLOOKUP($C174,'3A.Occpcy&amp;Rent'!$C$15:$L$414,5,FALSE))</f>
        <v/>
      </c>
      <c r="H174" s="1727"/>
      <c r="I174" s="1727"/>
      <c r="J174" s="1727"/>
      <c r="K174" s="1727"/>
      <c r="L174" s="1727"/>
      <c r="M174" s="1469"/>
      <c r="N174" s="1729"/>
      <c r="P174" s="1597">
        <f t="shared" si="6"/>
        <v>1</v>
      </c>
      <c r="Q174" s="1597">
        <f t="shared" si="8"/>
        <v>1</v>
      </c>
      <c r="R174">
        <f t="shared" si="7"/>
        <v>0</v>
      </c>
    </row>
    <row r="175" spans="3:18" ht="20.100000000000001" customHeight="1">
      <c r="C175" s="34">
        <v>161</v>
      </c>
      <c r="D175" s="1782" t="str">
        <f>IF('3A.Occpcy&amp;Rent'!$D175="","",VLOOKUP($C175,'3A.Occpcy&amp;Rent'!$C$15:$L$414,2,FALSE))</f>
        <v/>
      </c>
      <c r="E175" s="1783" t="str">
        <f>IF('3A.Occpcy&amp;Rent'!$D175="","",VLOOKUP($C175,'3A.Occpcy&amp;Rent'!$C$15:$L$414,3,FALSE))</f>
        <v/>
      </c>
      <c r="F175" s="1784" t="str">
        <f>IF('3A.Occpcy&amp;Rent'!$D175="","",VLOOKUP($C175,'3A.Occpcy&amp;Rent'!$C$15:$L$414,10,FALSE))</f>
        <v/>
      </c>
      <c r="G175" s="1785" t="str">
        <f>IF('3A.Occpcy&amp;Rent'!$D175="","",VLOOKUP($C175,'3A.Occpcy&amp;Rent'!$C$15:$L$414,5,FALSE))</f>
        <v/>
      </c>
      <c r="H175" s="1727"/>
      <c r="I175" s="1727"/>
      <c r="J175" s="1727"/>
      <c r="K175" s="1727"/>
      <c r="L175" s="1727"/>
      <c r="M175" s="1469"/>
      <c r="N175" s="1729"/>
      <c r="P175" s="1597">
        <f t="shared" si="6"/>
        <v>1</v>
      </c>
      <c r="Q175" s="1597">
        <f t="shared" si="8"/>
        <v>1</v>
      </c>
      <c r="R175">
        <f t="shared" si="7"/>
        <v>0</v>
      </c>
    </row>
    <row r="176" spans="3:18" ht="20.100000000000001" customHeight="1">
      <c r="C176" s="34">
        <v>162</v>
      </c>
      <c r="D176" s="1782" t="str">
        <f>IF('3A.Occpcy&amp;Rent'!$D176="","",VLOOKUP($C176,'3A.Occpcy&amp;Rent'!$C$15:$L$414,2,FALSE))</f>
        <v/>
      </c>
      <c r="E176" s="1783" t="str">
        <f>IF('3A.Occpcy&amp;Rent'!$D176="","",VLOOKUP($C176,'3A.Occpcy&amp;Rent'!$C$15:$L$414,3,FALSE))</f>
        <v/>
      </c>
      <c r="F176" s="1784" t="str">
        <f>IF('3A.Occpcy&amp;Rent'!$D176="","",VLOOKUP($C176,'3A.Occpcy&amp;Rent'!$C$15:$L$414,10,FALSE))</f>
        <v/>
      </c>
      <c r="G176" s="1785" t="str">
        <f>IF('3A.Occpcy&amp;Rent'!$D176="","",VLOOKUP($C176,'3A.Occpcy&amp;Rent'!$C$15:$L$414,5,FALSE))</f>
        <v/>
      </c>
      <c r="H176" s="1727"/>
      <c r="I176" s="1727"/>
      <c r="J176" s="1727"/>
      <c r="K176" s="1727"/>
      <c r="L176" s="1727"/>
      <c r="M176" s="1469"/>
      <c r="N176" s="1729"/>
      <c r="P176" s="1597">
        <f t="shared" si="6"/>
        <v>1</v>
      </c>
      <c r="Q176" s="1597">
        <f t="shared" si="8"/>
        <v>1</v>
      </c>
      <c r="R176">
        <f t="shared" si="7"/>
        <v>0</v>
      </c>
    </row>
    <row r="177" spans="3:18" ht="20.100000000000001" customHeight="1">
      <c r="C177" s="34">
        <v>163</v>
      </c>
      <c r="D177" s="1782" t="str">
        <f>IF('3A.Occpcy&amp;Rent'!$D177="","",VLOOKUP($C177,'3A.Occpcy&amp;Rent'!$C$15:$L$414,2,FALSE))</f>
        <v/>
      </c>
      <c r="E177" s="1783" t="str">
        <f>IF('3A.Occpcy&amp;Rent'!$D177="","",VLOOKUP($C177,'3A.Occpcy&amp;Rent'!$C$15:$L$414,3,FALSE))</f>
        <v/>
      </c>
      <c r="F177" s="1784" t="str">
        <f>IF('3A.Occpcy&amp;Rent'!$D177="","",VLOOKUP($C177,'3A.Occpcy&amp;Rent'!$C$15:$L$414,10,FALSE))</f>
        <v/>
      </c>
      <c r="G177" s="1785" t="str">
        <f>IF('3A.Occpcy&amp;Rent'!$D177="","",VLOOKUP($C177,'3A.Occpcy&amp;Rent'!$C$15:$L$414,5,FALSE))</f>
        <v/>
      </c>
      <c r="H177" s="1727"/>
      <c r="I177" s="1727"/>
      <c r="J177" s="1727"/>
      <c r="K177" s="1727"/>
      <c r="L177" s="1727"/>
      <c r="M177" s="1469"/>
      <c r="N177" s="1729"/>
      <c r="P177" s="1597">
        <f t="shared" si="6"/>
        <v>1</v>
      </c>
      <c r="Q177" s="1597">
        <f t="shared" si="8"/>
        <v>1</v>
      </c>
      <c r="R177">
        <f t="shared" si="7"/>
        <v>0</v>
      </c>
    </row>
    <row r="178" spans="3:18" ht="20.100000000000001" customHeight="1">
      <c r="C178" s="34">
        <v>164</v>
      </c>
      <c r="D178" s="1782" t="str">
        <f>IF('3A.Occpcy&amp;Rent'!$D178="","",VLOOKUP($C178,'3A.Occpcy&amp;Rent'!$C$15:$L$414,2,FALSE))</f>
        <v/>
      </c>
      <c r="E178" s="1783" t="str">
        <f>IF('3A.Occpcy&amp;Rent'!$D178="","",VLOOKUP($C178,'3A.Occpcy&amp;Rent'!$C$15:$L$414,3,FALSE))</f>
        <v/>
      </c>
      <c r="F178" s="1784" t="str">
        <f>IF('3A.Occpcy&amp;Rent'!$D178="","",VLOOKUP($C178,'3A.Occpcy&amp;Rent'!$C$15:$L$414,10,FALSE))</f>
        <v/>
      </c>
      <c r="G178" s="1785" t="str">
        <f>IF('3A.Occpcy&amp;Rent'!$D178="","",VLOOKUP($C178,'3A.Occpcy&amp;Rent'!$C$15:$L$414,5,FALSE))</f>
        <v/>
      </c>
      <c r="H178" s="1727"/>
      <c r="I178" s="1727"/>
      <c r="J178" s="1727"/>
      <c r="K178" s="1727"/>
      <c r="L178" s="1727"/>
      <c r="M178" s="1469"/>
      <c r="N178" s="1729"/>
      <c r="P178" s="1597">
        <f t="shared" si="6"/>
        <v>1</v>
      </c>
      <c r="Q178" s="1597">
        <f t="shared" si="8"/>
        <v>1</v>
      </c>
      <c r="R178">
        <f t="shared" si="7"/>
        <v>0</v>
      </c>
    </row>
    <row r="179" spans="3:18" ht="20.100000000000001" customHeight="1">
      <c r="C179" s="34">
        <v>165</v>
      </c>
      <c r="D179" s="1782" t="str">
        <f>IF('3A.Occpcy&amp;Rent'!$D179="","",VLOOKUP($C179,'3A.Occpcy&amp;Rent'!$C$15:$L$414,2,FALSE))</f>
        <v/>
      </c>
      <c r="E179" s="1783" t="str">
        <f>IF('3A.Occpcy&amp;Rent'!$D179="","",VLOOKUP($C179,'3A.Occpcy&amp;Rent'!$C$15:$L$414,3,FALSE))</f>
        <v/>
      </c>
      <c r="F179" s="1784" t="str">
        <f>IF('3A.Occpcy&amp;Rent'!$D179="","",VLOOKUP($C179,'3A.Occpcy&amp;Rent'!$C$15:$L$414,10,FALSE))</f>
        <v/>
      </c>
      <c r="G179" s="1785" t="str">
        <f>IF('3A.Occpcy&amp;Rent'!$D179="","",VLOOKUP($C179,'3A.Occpcy&amp;Rent'!$C$15:$L$414,5,FALSE))</f>
        <v/>
      </c>
      <c r="H179" s="1727"/>
      <c r="I179" s="1727"/>
      <c r="J179" s="1727"/>
      <c r="K179" s="1727"/>
      <c r="L179" s="1727"/>
      <c r="M179" s="1469"/>
      <c r="N179" s="1729"/>
      <c r="P179" s="1597">
        <f t="shared" si="6"/>
        <v>1</v>
      </c>
      <c r="Q179" s="1597">
        <f t="shared" si="8"/>
        <v>1</v>
      </c>
      <c r="R179">
        <f t="shared" si="7"/>
        <v>0</v>
      </c>
    </row>
    <row r="180" spans="3:18" ht="20.100000000000001" customHeight="1">
      <c r="C180" s="34">
        <v>166</v>
      </c>
      <c r="D180" s="1782" t="str">
        <f>IF('3A.Occpcy&amp;Rent'!$D180="","",VLOOKUP($C180,'3A.Occpcy&amp;Rent'!$C$15:$L$414,2,FALSE))</f>
        <v/>
      </c>
      <c r="E180" s="1783" t="str">
        <f>IF('3A.Occpcy&amp;Rent'!$D180="","",VLOOKUP($C180,'3A.Occpcy&amp;Rent'!$C$15:$L$414,3,FALSE))</f>
        <v/>
      </c>
      <c r="F180" s="1784" t="str">
        <f>IF('3A.Occpcy&amp;Rent'!$D180="","",VLOOKUP($C180,'3A.Occpcy&amp;Rent'!$C$15:$L$414,10,FALSE))</f>
        <v/>
      </c>
      <c r="G180" s="1785" t="str">
        <f>IF('3A.Occpcy&amp;Rent'!$D180="","",VLOOKUP($C180,'3A.Occpcy&amp;Rent'!$C$15:$L$414,5,FALSE))</f>
        <v/>
      </c>
      <c r="H180" s="1727"/>
      <c r="I180" s="1727"/>
      <c r="J180" s="1727"/>
      <c r="K180" s="1727"/>
      <c r="L180" s="1727"/>
      <c r="M180" s="1469"/>
      <c r="N180" s="1729"/>
      <c r="P180" s="1597">
        <f t="shared" si="6"/>
        <v>1</v>
      </c>
      <c r="Q180" s="1597">
        <f t="shared" si="8"/>
        <v>1</v>
      </c>
      <c r="R180">
        <f t="shared" si="7"/>
        <v>0</v>
      </c>
    </row>
    <row r="181" spans="3:18" ht="20.100000000000001" customHeight="1">
      <c r="C181" s="34">
        <v>167</v>
      </c>
      <c r="D181" s="1782" t="str">
        <f>IF('3A.Occpcy&amp;Rent'!$D181="","",VLOOKUP($C181,'3A.Occpcy&amp;Rent'!$C$15:$L$414,2,FALSE))</f>
        <v/>
      </c>
      <c r="E181" s="1783" t="str">
        <f>IF('3A.Occpcy&amp;Rent'!$D181="","",VLOOKUP($C181,'3A.Occpcy&amp;Rent'!$C$15:$L$414,3,FALSE))</f>
        <v/>
      </c>
      <c r="F181" s="1784" t="str">
        <f>IF('3A.Occpcy&amp;Rent'!$D181="","",VLOOKUP($C181,'3A.Occpcy&amp;Rent'!$C$15:$L$414,10,FALSE))</f>
        <v/>
      </c>
      <c r="G181" s="1785" t="str">
        <f>IF('3A.Occpcy&amp;Rent'!$D181="","",VLOOKUP($C181,'3A.Occpcy&amp;Rent'!$C$15:$L$414,5,FALSE))</f>
        <v/>
      </c>
      <c r="H181" s="1727"/>
      <c r="I181" s="1727"/>
      <c r="J181" s="1727"/>
      <c r="K181" s="1727"/>
      <c r="L181" s="1727"/>
      <c r="M181" s="1469"/>
      <c r="N181" s="1729"/>
      <c r="P181" s="1597">
        <f t="shared" si="6"/>
        <v>1</v>
      </c>
      <c r="Q181" s="1597">
        <f t="shared" si="8"/>
        <v>1</v>
      </c>
      <c r="R181">
        <f t="shared" si="7"/>
        <v>0</v>
      </c>
    </row>
    <row r="182" spans="3:18" ht="20.100000000000001" customHeight="1">
      <c r="C182" s="34">
        <v>168</v>
      </c>
      <c r="D182" s="1782" t="str">
        <f>IF('3A.Occpcy&amp;Rent'!$D182="","",VLOOKUP($C182,'3A.Occpcy&amp;Rent'!$C$15:$L$414,2,FALSE))</f>
        <v/>
      </c>
      <c r="E182" s="1783" t="str">
        <f>IF('3A.Occpcy&amp;Rent'!$D182="","",VLOOKUP($C182,'3A.Occpcy&amp;Rent'!$C$15:$L$414,3,FALSE))</f>
        <v/>
      </c>
      <c r="F182" s="1784" t="str">
        <f>IF('3A.Occpcy&amp;Rent'!$D182="","",VLOOKUP($C182,'3A.Occpcy&amp;Rent'!$C$15:$L$414,10,FALSE))</f>
        <v/>
      </c>
      <c r="G182" s="1785" t="str">
        <f>IF('3A.Occpcy&amp;Rent'!$D182="","",VLOOKUP($C182,'3A.Occpcy&amp;Rent'!$C$15:$L$414,5,FALSE))</f>
        <v/>
      </c>
      <c r="H182" s="1727"/>
      <c r="I182" s="1727"/>
      <c r="J182" s="1727"/>
      <c r="K182" s="1727"/>
      <c r="L182" s="1727"/>
      <c r="M182" s="1469"/>
      <c r="N182" s="1729"/>
      <c r="P182" s="1597">
        <f t="shared" si="6"/>
        <v>1</v>
      </c>
      <c r="Q182" s="1597">
        <f t="shared" si="8"/>
        <v>1</v>
      </c>
      <c r="R182">
        <f t="shared" si="7"/>
        <v>0</v>
      </c>
    </row>
    <row r="183" spans="3:18" ht="20.100000000000001" customHeight="1">
      <c r="C183" s="34">
        <v>169</v>
      </c>
      <c r="D183" s="1782" t="str">
        <f>IF('3A.Occpcy&amp;Rent'!$D183="","",VLOOKUP($C183,'3A.Occpcy&amp;Rent'!$C$15:$L$414,2,FALSE))</f>
        <v/>
      </c>
      <c r="E183" s="1783" t="str">
        <f>IF('3A.Occpcy&amp;Rent'!$D183="","",VLOOKUP($C183,'3A.Occpcy&amp;Rent'!$C$15:$L$414,3,FALSE))</f>
        <v/>
      </c>
      <c r="F183" s="1784" t="str">
        <f>IF('3A.Occpcy&amp;Rent'!$D183="","",VLOOKUP($C183,'3A.Occpcy&amp;Rent'!$C$15:$L$414,10,FALSE))</f>
        <v/>
      </c>
      <c r="G183" s="1785" t="str">
        <f>IF('3A.Occpcy&amp;Rent'!$D183="","",VLOOKUP($C183,'3A.Occpcy&amp;Rent'!$C$15:$L$414,5,FALSE))</f>
        <v/>
      </c>
      <c r="H183" s="1727"/>
      <c r="I183" s="1727"/>
      <c r="J183" s="1727"/>
      <c r="K183" s="1727"/>
      <c r="L183" s="1727"/>
      <c r="M183" s="1469"/>
      <c r="N183" s="1729"/>
      <c r="P183" s="1597">
        <f t="shared" si="6"/>
        <v>1</v>
      </c>
      <c r="Q183" s="1597">
        <f t="shared" si="8"/>
        <v>1</v>
      </c>
      <c r="R183">
        <f t="shared" si="7"/>
        <v>0</v>
      </c>
    </row>
    <row r="184" spans="3:18" ht="20.100000000000001" customHeight="1">
      <c r="C184" s="34">
        <v>170</v>
      </c>
      <c r="D184" s="1782" t="str">
        <f>IF('3A.Occpcy&amp;Rent'!$D184="","",VLOOKUP($C184,'3A.Occpcy&amp;Rent'!$C$15:$L$414,2,FALSE))</f>
        <v/>
      </c>
      <c r="E184" s="1783" t="str">
        <f>IF('3A.Occpcy&amp;Rent'!$D184="","",VLOOKUP($C184,'3A.Occpcy&amp;Rent'!$C$15:$L$414,3,FALSE))</f>
        <v/>
      </c>
      <c r="F184" s="1784" t="str">
        <f>IF('3A.Occpcy&amp;Rent'!$D184="","",VLOOKUP($C184,'3A.Occpcy&amp;Rent'!$C$15:$L$414,10,FALSE))</f>
        <v/>
      </c>
      <c r="G184" s="1785" t="str">
        <f>IF('3A.Occpcy&amp;Rent'!$D184="","",VLOOKUP($C184,'3A.Occpcy&amp;Rent'!$C$15:$L$414,5,FALSE))</f>
        <v/>
      </c>
      <c r="H184" s="1727"/>
      <c r="I184" s="1727"/>
      <c r="J184" s="1727"/>
      <c r="K184" s="1727"/>
      <c r="L184" s="1727"/>
      <c r="M184" s="1469"/>
      <c r="N184" s="1729"/>
      <c r="P184" s="1597">
        <f t="shared" si="6"/>
        <v>1</v>
      </c>
      <c r="Q184" s="1597">
        <f t="shared" si="8"/>
        <v>1</v>
      </c>
      <c r="R184">
        <f t="shared" si="7"/>
        <v>0</v>
      </c>
    </row>
    <row r="185" spans="3:18" ht="20.100000000000001" customHeight="1">
      <c r="C185" s="34">
        <v>171</v>
      </c>
      <c r="D185" s="1782" t="str">
        <f>IF('3A.Occpcy&amp;Rent'!$D185="","",VLOOKUP($C185,'3A.Occpcy&amp;Rent'!$C$15:$L$414,2,FALSE))</f>
        <v/>
      </c>
      <c r="E185" s="1783" t="str">
        <f>IF('3A.Occpcy&amp;Rent'!$D185="","",VLOOKUP($C185,'3A.Occpcy&amp;Rent'!$C$15:$L$414,3,FALSE))</f>
        <v/>
      </c>
      <c r="F185" s="1784" t="str">
        <f>IF('3A.Occpcy&amp;Rent'!$D185="","",VLOOKUP($C185,'3A.Occpcy&amp;Rent'!$C$15:$L$414,10,FALSE))</f>
        <v/>
      </c>
      <c r="G185" s="1785" t="str">
        <f>IF('3A.Occpcy&amp;Rent'!$D185="","",VLOOKUP($C185,'3A.Occpcy&amp;Rent'!$C$15:$L$414,5,FALSE))</f>
        <v/>
      </c>
      <c r="H185" s="1727"/>
      <c r="I185" s="1727"/>
      <c r="J185" s="1727"/>
      <c r="K185" s="1727"/>
      <c r="L185" s="1727"/>
      <c r="M185" s="1469"/>
      <c r="N185" s="1729"/>
      <c r="P185" s="1597">
        <f t="shared" si="6"/>
        <v>1</v>
      </c>
      <c r="Q185" s="1597">
        <f t="shared" si="8"/>
        <v>1</v>
      </c>
      <c r="R185">
        <f t="shared" si="7"/>
        <v>0</v>
      </c>
    </row>
    <row r="186" spans="3:18" ht="20.100000000000001" customHeight="1">
      <c r="C186" s="34">
        <v>172</v>
      </c>
      <c r="D186" s="1782" t="str">
        <f>IF('3A.Occpcy&amp;Rent'!$D186="","",VLOOKUP($C186,'3A.Occpcy&amp;Rent'!$C$15:$L$414,2,FALSE))</f>
        <v/>
      </c>
      <c r="E186" s="1783" t="str">
        <f>IF('3A.Occpcy&amp;Rent'!$D186="","",VLOOKUP($C186,'3A.Occpcy&amp;Rent'!$C$15:$L$414,3,FALSE))</f>
        <v/>
      </c>
      <c r="F186" s="1784" t="str">
        <f>IF('3A.Occpcy&amp;Rent'!$D186="","",VLOOKUP($C186,'3A.Occpcy&amp;Rent'!$C$15:$L$414,10,FALSE))</f>
        <v/>
      </c>
      <c r="G186" s="1785" t="str">
        <f>IF('3A.Occpcy&amp;Rent'!$D186="","",VLOOKUP($C186,'3A.Occpcy&amp;Rent'!$C$15:$L$414,5,FALSE))</f>
        <v/>
      </c>
      <c r="H186" s="1727"/>
      <c r="I186" s="1727"/>
      <c r="J186" s="1727"/>
      <c r="K186" s="1727"/>
      <c r="L186" s="1727"/>
      <c r="M186" s="1469"/>
      <c r="N186" s="1729"/>
      <c r="P186" s="1597">
        <f t="shared" si="6"/>
        <v>1</v>
      </c>
      <c r="Q186" s="1597">
        <f t="shared" si="8"/>
        <v>1</v>
      </c>
      <c r="R186">
        <f t="shared" si="7"/>
        <v>0</v>
      </c>
    </row>
    <row r="187" spans="3:18" ht="20.100000000000001" customHeight="1">
      <c r="C187" s="34">
        <v>173</v>
      </c>
      <c r="D187" s="1782" t="str">
        <f>IF('3A.Occpcy&amp;Rent'!$D187="","",VLOOKUP($C187,'3A.Occpcy&amp;Rent'!$C$15:$L$414,2,FALSE))</f>
        <v/>
      </c>
      <c r="E187" s="1783" t="str">
        <f>IF('3A.Occpcy&amp;Rent'!$D187="","",VLOOKUP($C187,'3A.Occpcy&amp;Rent'!$C$15:$L$414,3,FALSE))</f>
        <v/>
      </c>
      <c r="F187" s="1784" t="str">
        <f>IF('3A.Occpcy&amp;Rent'!$D187="","",VLOOKUP($C187,'3A.Occpcy&amp;Rent'!$C$15:$L$414,10,FALSE))</f>
        <v/>
      </c>
      <c r="G187" s="1785" t="str">
        <f>IF('3A.Occpcy&amp;Rent'!$D187="","",VLOOKUP($C187,'3A.Occpcy&amp;Rent'!$C$15:$L$414,5,FALSE))</f>
        <v/>
      </c>
      <c r="H187" s="1727"/>
      <c r="I187" s="1727"/>
      <c r="J187" s="1727"/>
      <c r="K187" s="1727"/>
      <c r="L187" s="1727"/>
      <c r="M187" s="1469"/>
      <c r="N187" s="1729"/>
      <c r="P187" s="1597">
        <f t="shared" si="6"/>
        <v>1</v>
      </c>
      <c r="Q187" s="1597">
        <f t="shared" si="8"/>
        <v>1</v>
      </c>
      <c r="R187">
        <f t="shared" si="7"/>
        <v>0</v>
      </c>
    </row>
    <row r="188" spans="3:18" ht="20.100000000000001" customHeight="1">
      <c r="C188" s="34">
        <v>174</v>
      </c>
      <c r="D188" s="1782" t="str">
        <f>IF('3A.Occpcy&amp;Rent'!$D188="","",VLOOKUP($C188,'3A.Occpcy&amp;Rent'!$C$15:$L$414,2,FALSE))</f>
        <v/>
      </c>
      <c r="E188" s="1783" t="str">
        <f>IF('3A.Occpcy&amp;Rent'!$D188="","",VLOOKUP($C188,'3A.Occpcy&amp;Rent'!$C$15:$L$414,3,FALSE))</f>
        <v/>
      </c>
      <c r="F188" s="1784" t="str">
        <f>IF('3A.Occpcy&amp;Rent'!$D188="","",VLOOKUP($C188,'3A.Occpcy&amp;Rent'!$C$15:$L$414,10,FALSE))</f>
        <v/>
      </c>
      <c r="G188" s="1785" t="str">
        <f>IF('3A.Occpcy&amp;Rent'!$D188="","",VLOOKUP($C188,'3A.Occpcy&amp;Rent'!$C$15:$L$414,5,FALSE))</f>
        <v/>
      </c>
      <c r="H188" s="1727"/>
      <c r="I188" s="1727"/>
      <c r="J188" s="1727"/>
      <c r="K188" s="1727"/>
      <c r="L188" s="1727"/>
      <c r="M188" s="1469"/>
      <c r="N188" s="1729"/>
      <c r="P188" s="1597">
        <f t="shared" si="6"/>
        <v>1</v>
      </c>
      <c r="Q188" s="1597">
        <f t="shared" si="8"/>
        <v>1</v>
      </c>
      <c r="R188">
        <f t="shared" si="7"/>
        <v>0</v>
      </c>
    </row>
    <row r="189" spans="3:18" ht="20.100000000000001" customHeight="1">
      <c r="C189" s="34">
        <v>175</v>
      </c>
      <c r="D189" s="1782" t="str">
        <f>IF('3A.Occpcy&amp;Rent'!$D189="","",VLOOKUP($C189,'3A.Occpcy&amp;Rent'!$C$15:$L$414,2,FALSE))</f>
        <v/>
      </c>
      <c r="E189" s="1783" t="str">
        <f>IF('3A.Occpcy&amp;Rent'!$D189="","",VLOOKUP($C189,'3A.Occpcy&amp;Rent'!$C$15:$L$414,3,FALSE))</f>
        <v/>
      </c>
      <c r="F189" s="1784" t="str">
        <f>IF('3A.Occpcy&amp;Rent'!$D189="","",VLOOKUP($C189,'3A.Occpcy&amp;Rent'!$C$15:$L$414,10,FALSE))</f>
        <v/>
      </c>
      <c r="G189" s="1785" t="str">
        <f>IF('3A.Occpcy&amp;Rent'!$D189="","",VLOOKUP($C189,'3A.Occpcy&amp;Rent'!$C$15:$L$414,5,FALSE))</f>
        <v/>
      </c>
      <c r="H189" s="1727"/>
      <c r="I189" s="1727"/>
      <c r="J189" s="1727"/>
      <c r="K189" s="1727"/>
      <c r="L189" s="1727"/>
      <c r="M189" s="1469"/>
      <c r="N189" s="1729"/>
      <c r="P189" s="1597">
        <f t="shared" si="6"/>
        <v>1</v>
      </c>
      <c r="Q189" s="1597">
        <f t="shared" si="8"/>
        <v>1</v>
      </c>
      <c r="R189">
        <f t="shared" si="7"/>
        <v>0</v>
      </c>
    </row>
    <row r="190" spans="3:18" ht="20.100000000000001" customHeight="1">
      <c r="C190" s="34">
        <v>176</v>
      </c>
      <c r="D190" s="1782" t="str">
        <f>IF('3A.Occpcy&amp;Rent'!$D190="","",VLOOKUP($C190,'3A.Occpcy&amp;Rent'!$C$15:$L$414,2,FALSE))</f>
        <v/>
      </c>
      <c r="E190" s="1783" t="str">
        <f>IF('3A.Occpcy&amp;Rent'!$D190="","",VLOOKUP($C190,'3A.Occpcy&amp;Rent'!$C$15:$L$414,3,FALSE))</f>
        <v/>
      </c>
      <c r="F190" s="1784" t="str">
        <f>IF('3A.Occpcy&amp;Rent'!$D190="","",VLOOKUP($C190,'3A.Occpcy&amp;Rent'!$C$15:$L$414,10,FALSE))</f>
        <v/>
      </c>
      <c r="G190" s="1785" t="str">
        <f>IF('3A.Occpcy&amp;Rent'!$D190="","",VLOOKUP($C190,'3A.Occpcy&amp;Rent'!$C$15:$L$414,5,FALSE))</f>
        <v/>
      </c>
      <c r="H190" s="1727"/>
      <c r="I190" s="1727"/>
      <c r="J190" s="1727"/>
      <c r="K190" s="1727"/>
      <c r="L190" s="1727"/>
      <c r="M190" s="1469"/>
      <c r="N190" s="1729"/>
      <c r="P190" s="1597">
        <f t="shared" si="6"/>
        <v>1</v>
      </c>
      <c r="Q190" s="1597">
        <f t="shared" si="8"/>
        <v>1</v>
      </c>
      <c r="R190">
        <f t="shared" si="7"/>
        <v>0</v>
      </c>
    </row>
    <row r="191" spans="3:18" ht="20.100000000000001" customHeight="1">
      <c r="C191" s="34">
        <v>177</v>
      </c>
      <c r="D191" s="1782" t="str">
        <f>IF('3A.Occpcy&amp;Rent'!$D191="","",VLOOKUP($C191,'3A.Occpcy&amp;Rent'!$C$15:$L$414,2,FALSE))</f>
        <v/>
      </c>
      <c r="E191" s="1783" t="str">
        <f>IF('3A.Occpcy&amp;Rent'!$D191="","",VLOOKUP($C191,'3A.Occpcy&amp;Rent'!$C$15:$L$414,3,FALSE))</f>
        <v/>
      </c>
      <c r="F191" s="1784" t="str">
        <f>IF('3A.Occpcy&amp;Rent'!$D191="","",VLOOKUP($C191,'3A.Occpcy&amp;Rent'!$C$15:$L$414,10,FALSE))</f>
        <v/>
      </c>
      <c r="G191" s="1785" t="str">
        <f>IF('3A.Occpcy&amp;Rent'!$D191="","",VLOOKUP($C191,'3A.Occpcy&amp;Rent'!$C$15:$L$414,5,FALSE))</f>
        <v/>
      </c>
      <c r="H191" s="1727"/>
      <c r="I191" s="1727"/>
      <c r="J191" s="1727"/>
      <c r="K191" s="1727"/>
      <c r="L191" s="1727"/>
      <c r="M191" s="1469"/>
      <c r="N191" s="1729"/>
      <c r="P191" s="1597">
        <f t="shared" si="6"/>
        <v>1</v>
      </c>
      <c r="Q191" s="1597">
        <f t="shared" si="8"/>
        <v>1</v>
      </c>
      <c r="R191">
        <f t="shared" si="7"/>
        <v>0</v>
      </c>
    </row>
    <row r="192" spans="3:18" ht="20.100000000000001" customHeight="1">
      <c r="C192" s="34">
        <v>178</v>
      </c>
      <c r="D192" s="1782" t="str">
        <f>IF('3A.Occpcy&amp;Rent'!$D192="","",VLOOKUP($C192,'3A.Occpcy&amp;Rent'!$C$15:$L$414,2,FALSE))</f>
        <v/>
      </c>
      <c r="E192" s="1783" t="str">
        <f>IF('3A.Occpcy&amp;Rent'!$D192="","",VLOOKUP($C192,'3A.Occpcy&amp;Rent'!$C$15:$L$414,3,FALSE))</f>
        <v/>
      </c>
      <c r="F192" s="1784" t="str">
        <f>IF('3A.Occpcy&amp;Rent'!$D192="","",VLOOKUP($C192,'3A.Occpcy&amp;Rent'!$C$15:$L$414,10,FALSE))</f>
        <v/>
      </c>
      <c r="G192" s="1785" t="str">
        <f>IF('3A.Occpcy&amp;Rent'!$D192="","",VLOOKUP($C192,'3A.Occpcy&amp;Rent'!$C$15:$L$414,5,FALSE))</f>
        <v/>
      </c>
      <c r="H192" s="1727"/>
      <c r="I192" s="1727"/>
      <c r="J192" s="1727"/>
      <c r="K192" s="1727"/>
      <c r="L192" s="1727"/>
      <c r="M192" s="1469"/>
      <c r="N192" s="1729"/>
      <c r="P192" s="1597">
        <f t="shared" si="6"/>
        <v>1</v>
      </c>
      <c r="Q192" s="1597">
        <f t="shared" si="8"/>
        <v>1</v>
      </c>
      <c r="R192">
        <f t="shared" si="7"/>
        <v>0</v>
      </c>
    </row>
    <row r="193" spans="3:18" ht="20.100000000000001" customHeight="1">
      <c r="C193" s="34">
        <v>179</v>
      </c>
      <c r="D193" s="1782" t="str">
        <f>IF('3A.Occpcy&amp;Rent'!$D193="","",VLOOKUP($C193,'3A.Occpcy&amp;Rent'!$C$15:$L$414,2,FALSE))</f>
        <v/>
      </c>
      <c r="E193" s="1783" t="str">
        <f>IF('3A.Occpcy&amp;Rent'!$D193="","",VLOOKUP($C193,'3A.Occpcy&amp;Rent'!$C$15:$L$414,3,FALSE))</f>
        <v/>
      </c>
      <c r="F193" s="1784" t="str">
        <f>IF('3A.Occpcy&amp;Rent'!$D193="","",VLOOKUP($C193,'3A.Occpcy&amp;Rent'!$C$15:$L$414,10,FALSE))</f>
        <v/>
      </c>
      <c r="G193" s="1785" t="str">
        <f>IF('3A.Occpcy&amp;Rent'!$D193="","",VLOOKUP($C193,'3A.Occpcy&amp;Rent'!$C$15:$L$414,5,FALSE))</f>
        <v/>
      </c>
      <c r="H193" s="1727"/>
      <c r="I193" s="1727"/>
      <c r="J193" s="1727"/>
      <c r="K193" s="1727"/>
      <c r="L193" s="1727"/>
      <c r="M193" s="1469"/>
      <c r="N193" s="1729"/>
      <c r="P193" s="1597">
        <f t="shared" si="6"/>
        <v>1</v>
      </c>
      <c r="Q193" s="1597">
        <f t="shared" si="8"/>
        <v>1</v>
      </c>
      <c r="R193">
        <f t="shared" si="7"/>
        <v>0</v>
      </c>
    </row>
    <row r="194" spans="3:18" ht="20.100000000000001" customHeight="1">
      <c r="C194" s="34">
        <v>180</v>
      </c>
      <c r="D194" s="1782" t="str">
        <f>IF('3A.Occpcy&amp;Rent'!$D194="","",VLOOKUP($C194,'3A.Occpcy&amp;Rent'!$C$15:$L$414,2,FALSE))</f>
        <v/>
      </c>
      <c r="E194" s="1783" t="str">
        <f>IF('3A.Occpcy&amp;Rent'!$D194="","",VLOOKUP($C194,'3A.Occpcy&amp;Rent'!$C$15:$L$414,3,FALSE))</f>
        <v/>
      </c>
      <c r="F194" s="1784" t="str">
        <f>IF('3A.Occpcy&amp;Rent'!$D194="","",VLOOKUP($C194,'3A.Occpcy&amp;Rent'!$C$15:$L$414,10,FALSE))</f>
        <v/>
      </c>
      <c r="G194" s="1785" t="str">
        <f>IF('3A.Occpcy&amp;Rent'!$D194="","",VLOOKUP($C194,'3A.Occpcy&amp;Rent'!$C$15:$L$414,5,FALSE))</f>
        <v/>
      </c>
      <c r="H194" s="1727"/>
      <c r="I194" s="1727"/>
      <c r="J194" s="1727"/>
      <c r="K194" s="1727"/>
      <c r="L194" s="1727"/>
      <c r="M194" s="1469"/>
      <c r="N194" s="1729"/>
      <c r="P194" s="1597">
        <f t="shared" si="6"/>
        <v>1</v>
      </c>
      <c r="Q194" s="1597">
        <f t="shared" si="8"/>
        <v>1</v>
      </c>
      <c r="R194">
        <f t="shared" si="7"/>
        <v>0</v>
      </c>
    </row>
    <row r="195" spans="3:18" ht="20.100000000000001" customHeight="1">
      <c r="C195" s="34">
        <v>181</v>
      </c>
      <c r="D195" s="1782" t="str">
        <f>IF('3A.Occpcy&amp;Rent'!$D195="","",VLOOKUP($C195,'3A.Occpcy&amp;Rent'!$C$15:$L$414,2,FALSE))</f>
        <v/>
      </c>
      <c r="E195" s="1783" t="str">
        <f>IF('3A.Occpcy&amp;Rent'!$D195="","",VLOOKUP($C195,'3A.Occpcy&amp;Rent'!$C$15:$L$414,3,FALSE))</f>
        <v/>
      </c>
      <c r="F195" s="1784" t="str">
        <f>IF('3A.Occpcy&amp;Rent'!$D195="","",VLOOKUP($C195,'3A.Occpcy&amp;Rent'!$C$15:$L$414,10,FALSE))</f>
        <v/>
      </c>
      <c r="G195" s="1785" t="str">
        <f>IF('3A.Occpcy&amp;Rent'!$D195="","",VLOOKUP($C195,'3A.Occpcy&amp;Rent'!$C$15:$L$414,5,FALSE))</f>
        <v/>
      </c>
      <c r="H195" s="1727"/>
      <c r="I195" s="1727"/>
      <c r="J195" s="1727"/>
      <c r="K195" s="1727"/>
      <c r="L195" s="1727"/>
      <c r="M195" s="1469"/>
      <c r="N195" s="1729"/>
      <c r="P195" s="1597">
        <f t="shared" si="6"/>
        <v>1</v>
      </c>
      <c r="Q195" s="1597">
        <f t="shared" si="8"/>
        <v>1</v>
      </c>
      <c r="R195">
        <f t="shared" si="7"/>
        <v>0</v>
      </c>
    </row>
    <row r="196" spans="3:18" ht="20.100000000000001" customHeight="1">
      <c r="C196" s="34">
        <v>182</v>
      </c>
      <c r="D196" s="1782" t="str">
        <f>IF('3A.Occpcy&amp;Rent'!$D196="","",VLOOKUP($C196,'3A.Occpcy&amp;Rent'!$C$15:$L$414,2,FALSE))</f>
        <v/>
      </c>
      <c r="E196" s="1783" t="str">
        <f>IF('3A.Occpcy&amp;Rent'!$D196="","",VLOOKUP($C196,'3A.Occpcy&amp;Rent'!$C$15:$L$414,3,FALSE))</f>
        <v/>
      </c>
      <c r="F196" s="1784" t="str">
        <f>IF('3A.Occpcy&amp;Rent'!$D196="","",VLOOKUP($C196,'3A.Occpcy&amp;Rent'!$C$15:$L$414,10,FALSE))</f>
        <v/>
      </c>
      <c r="G196" s="1785" t="str">
        <f>IF('3A.Occpcy&amp;Rent'!$D196="","",VLOOKUP($C196,'3A.Occpcy&amp;Rent'!$C$15:$L$414,5,FALSE))</f>
        <v/>
      </c>
      <c r="H196" s="1727"/>
      <c r="I196" s="1727"/>
      <c r="J196" s="1727"/>
      <c r="K196" s="1727"/>
      <c r="L196" s="1727"/>
      <c r="M196" s="1469"/>
      <c r="N196" s="1729"/>
      <c r="P196" s="1597">
        <f t="shared" si="6"/>
        <v>1</v>
      </c>
      <c r="Q196" s="1597">
        <f t="shared" si="8"/>
        <v>1</v>
      </c>
      <c r="R196">
        <f t="shared" si="7"/>
        <v>0</v>
      </c>
    </row>
    <row r="197" spans="3:18" ht="20.100000000000001" customHeight="1">
      <c r="C197" s="34">
        <v>183</v>
      </c>
      <c r="D197" s="1782" t="str">
        <f>IF('3A.Occpcy&amp;Rent'!$D197="","",VLOOKUP($C197,'3A.Occpcy&amp;Rent'!$C$15:$L$414,2,FALSE))</f>
        <v/>
      </c>
      <c r="E197" s="1783" t="str">
        <f>IF('3A.Occpcy&amp;Rent'!$D197="","",VLOOKUP($C197,'3A.Occpcy&amp;Rent'!$C$15:$L$414,3,FALSE))</f>
        <v/>
      </c>
      <c r="F197" s="1784" t="str">
        <f>IF('3A.Occpcy&amp;Rent'!$D197="","",VLOOKUP($C197,'3A.Occpcy&amp;Rent'!$C$15:$L$414,10,FALSE))</f>
        <v/>
      </c>
      <c r="G197" s="1785" t="str">
        <f>IF('3A.Occpcy&amp;Rent'!$D197="","",VLOOKUP($C197,'3A.Occpcy&amp;Rent'!$C$15:$L$414,5,FALSE))</f>
        <v/>
      </c>
      <c r="H197" s="1727"/>
      <c r="I197" s="1727"/>
      <c r="J197" s="1727"/>
      <c r="K197" s="1727"/>
      <c r="L197" s="1727"/>
      <c r="M197" s="1469"/>
      <c r="N197" s="1729"/>
      <c r="P197" s="1597">
        <f t="shared" si="6"/>
        <v>1</v>
      </c>
      <c r="Q197" s="1597">
        <f t="shared" si="8"/>
        <v>1</v>
      </c>
      <c r="R197">
        <f t="shared" si="7"/>
        <v>0</v>
      </c>
    </row>
    <row r="198" spans="3:18" ht="20.100000000000001" customHeight="1">
      <c r="C198" s="34">
        <v>184</v>
      </c>
      <c r="D198" s="1782" t="str">
        <f>IF('3A.Occpcy&amp;Rent'!$D198="","",VLOOKUP($C198,'3A.Occpcy&amp;Rent'!$C$15:$L$414,2,FALSE))</f>
        <v/>
      </c>
      <c r="E198" s="1783" t="str">
        <f>IF('3A.Occpcy&amp;Rent'!$D198="","",VLOOKUP($C198,'3A.Occpcy&amp;Rent'!$C$15:$L$414,3,FALSE))</f>
        <v/>
      </c>
      <c r="F198" s="1784" t="str">
        <f>IF('3A.Occpcy&amp;Rent'!$D198="","",VLOOKUP($C198,'3A.Occpcy&amp;Rent'!$C$15:$L$414,10,FALSE))</f>
        <v/>
      </c>
      <c r="G198" s="1785" t="str">
        <f>IF('3A.Occpcy&amp;Rent'!$D198="","",VLOOKUP($C198,'3A.Occpcy&amp;Rent'!$C$15:$L$414,5,FALSE))</f>
        <v/>
      </c>
      <c r="H198" s="1727"/>
      <c r="I198" s="1727"/>
      <c r="J198" s="1727"/>
      <c r="K198" s="1727"/>
      <c r="L198" s="1727"/>
      <c r="M198" s="1469"/>
      <c r="N198" s="1729"/>
      <c r="P198" s="1597">
        <f t="shared" si="6"/>
        <v>1</v>
      </c>
      <c r="Q198" s="1597">
        <f t="shared" si="8"/>
        <v>1</v>
      </c>
      <c r="R198">
        <f t="shared" si="7"/>
        <v>0</v>
      </c>
    </row>
    <row r="199" spans="3:18" ht="20.100000000000001" customHeight="1">
      <c r="C199" s="34">
        <v>185</v>
      </c>
      <c r="D199" s="1782" t="str">
        <f>IF('3A.Occpcy&amp;Rent'!$D199="","",VLOOKUP($C199,'3A.Occpcy&amp;Rent'!$C$15:$L$414,2,FALSE))</f>
        <v/>
      </c>
      <c r="E199" s="1783" t="str">
        <f>IF('3A.Occpcy&amp;Rent'!$D199="","",VLOOKUP($C199,'3A.Occpcy&amp;Rent'!$C$15:$L$414,3,FALSE))</f>
        <v/>
      </c>
      <c r="F199" s="1784" t="str">
        <f>IF('3A.Occpcy&amp;Rent'!$D199="","",VLOOKUP($C199,'3A.Occpcy&amp;Rent'!$C$15:$L$414,10,FALSE))</f>
        <v/>
      </c>
      <c r="G199" s="1785" t="str">
        <f>IF('3A.Occpcy&amp;Rent'!$D199="","",VLOOKUP($C199,'3A.Occpcy&amp;Rent'!$C$15:$L$414,5,FALSE))</f>
        <v/>
      </c>
      <c r="H199" s="1727"/>
      <c r="I199" s="1727"/>
      <c r="J199" s="1727"/>
      <c r="K199" s="1727"/>
      <c r="L199" s="1727"/>
      <c r="M199" s="1469"/>
      <c r="N199" s="1729"/>
      <c r="P199" s="1597">
        <f t="shared" si="6"/>
        <v>1</v>
      </c>
      <c r="Q199" s="1597">
        <f t="shared" si="8"/>
        <v>1</v>
      </c>
      <c r="R199">
        <f t="shared" si="7"/>
        <v>0</v>
      </c>
    </row>
    <row r="200" spans="3:18" ht="20.100000000000001" customHeight="1">
      <c r="C200" s="34">
        <v>186</v>
      </c>
      <c r="D200" s="1782" t="str">
        <f>IF('3A.Occpcy&amp;Rent'!$D200="","",VLOOKUP($C200,'3A.Occpcy&amp;Rent'!$C$15:$L$414,2,FALSE))</f>
        <v/>
      </c>
      <c r="E200" s="1783" t="str">
        <f>IF('3A.Occpcy&amp;Rent'!$D200="","",VLOOKUP($C200,'3A.Occpcy&amp;Rent'!$C$15:$L$414,3,FALSE))</f>
        <v/>
      </c>
      <c r="F200" s="1784" t="str">
        <f>IF('3A.Occpcy&amp;Rent'!$D200="","",VLOOKUP($C200,'3A.Occpcy&amp;Rent'!$C$15:$L$414,10,FALSE))</f>
        <v/>
      </c>
      <c r="G200" s="1785" t="str">
        <f>IF('3A.Occpcy&amp;Rent'!$D200="","",VLOOKUP($C200,'3A.Occpcy&amp;Rent'!$C$15:$L$414,5,FALSE))</f>
        <v/>
      </c>
      <c r="H200" s="1727"/>
      <c r="I200" s="1727"/>
      <c r="J200" s="1727"/>
      <c r="K200" s="1727"/>
      <c r="L200" s="1727"/>
      <c r="M200" s="1469"/>
      <c r="N200" s="1729"/>
      <c r="P200" s="1597">
        <f t="shared" si="6"/>
        <v>1</v>
      </c>
      <c r="Q200" s="1597">
        <f t="shared" si="8"/>
        <v>1</v>
      </c>
      <c r="R200">
        <f t="shared" si="7"/>
        <v>0</v>
      </c>
    </row>
    <row r="201" spans="3:18" ht="20.100000000000001" customHeight="1">
      <c r="C201" s="34">
        <v>187</v>
      </c>
      <c r="D201" s="1782" t="str">
        <f>IF('3A.Occpcy&amp;Rent'!$D201="","",VLOOKUP($C201,'3A.Occpcy&amp;Rent'!$C$15:$L$414,2,FALSE))</f>
        <v/>
      </c>
      <c r="E201" s="1783" t="str">
        <f>IF('3A.Occpcy&amp;Rent'!$D201="","",VLOOKUP($C201,'3A.Occpcy&amp;Rent'!$C$15:$L$414,3,FALSE))</f>
        <v/>
      </c>
      <c r="F201" s="1784" t="str">
        <f>IF('3A.Occpcy&amp;Rent'!$D201="","",VLOOKUP($C201,'3A.Occpcy&amp;Rent'!$C$15:$L$414,10,FALSE))</f>
        <v/>
      </c>
      <c r="G201" s="1785" t="str">
        <f>IF('3A.Occpcy&amp;Rent'!$D201="","",VLOOKUP($C201,'3A.Occpcy&amp;Rent'!$C$15:$L$414,5,FALSE))</f>
        <v/>
      </c>
      <c r="H201" s="1727"/>
      <c r="I201" s="1727"/>
      <c r="J201" s="1727"/>
      <c r="K201" s="1727"/>
      <c r="L201" s="1727"/>
      <c r="M201" s="1469"/>
      <c r="N201" s="1729"/>
      <c r="P201" s="1597">
        <f t="shared" si="6"/>
        <v>1</v>
      </c>
      <c r="Q201" s="1597">
        <f t="shared" si="8"/>
        <v>1</v>
      </c>
      <c r="R201">
        <f t="shared" si="7"/>
        <v>0</v>
      </c>
    </row>
    <row r="202" spans="3:18" ht="20.100000000000001" customHeight="1">
      <c r="C202" s="34">
        <v>188</v>
      </c>
      <c r="D202" s="1782" t="str">
        <f>IF('3A.Occpcy&amp;Rent'!$D202="","",VLOOKUP($C202,'3A.Occpcy&amp;Rent'!$C$15:$L$414,2,FALSE))</f>
        <v/>
      </c>
      <c r="E202" s="1783" t="str">
        <f>IF('3A.Occpcy&amp;Rent'!$D202="","",VLOOKUP($C202,'3A.Occpcy&amp;Rent'!$C$15:$L$414,3,FALSE))</f>
        <v/>
      </c>
      <c r="F202" s="1784" t="str">
        <f>IF('3A.Occpcy&amp;Rent'!$D202="","",VLOOKUP($C202,'3A.Occpcy&amp;Rent'!$C$15:$L$414,10,FALSE))</f>
        <v/>
      </c>
      <c r="G202" s="1785" t="str">
        <f>IF('3A.Occpcy&amp;Rent'!$D202="","",VLOOKUP($C202,'3A.Occpcy&amp;Rent'!$C$15:$L$414,5,FALSE))</f>
        <v/>
      </c>
      <c r="H202" s="1727"/>
      <c r="I202" s="1727"/>
      <c r="J202" s="1727"/>
      <c r="K202" s="1727"/>
      <c r="L202" s="1727"/>
      <c r="M202" s="1469"/>
      <c r="N202" s="1729"/>
      <c r="P202" s="1597">
        <f t="shared" si="6"/>
        <v>1</v>
      </c>
      <c r="Q202" s="1597">
        <f t="shared" si="8"/>
        <v>1</v>
      </c>
      <c r="R202">
        <f t="shared" si="7"/>
        <v>0</v>
      </c>
    </row>
    <row r="203" spans="3:18" ht="20.100000000000001" customHeight="1">
      <c r="C203" s="34">
        <v>189</v>
      </c>
      <c r="D203" s="1782" t="str">
        <f>IF('3A.Occpcy&amp;Rent'!$D203="","",VLOOKUP($C203,'3A.Occpcy&amp;Rent'!$C$15:$L$414,2,FALSE))</f>
        <v/>
      </c>
      <c r="E203" s="1783" t="str">
        <f>IF('3A.Occpcy&amp;Rent'!$D203="","",VLOOKUP($C203,'3A.Occpcy&amp;Rent'!$C$15:$L$414,3,FALSE))</f>
        <v/>
      </c>
      <c r="F203" s="1784" t="str">
        <f>IF('3A.Occpcy&amp;Rent'!$D203="","",VLOOKUP($C203,'3A.Occpcy&amp;Rent'!$C$15:$L$414,10,FALSE))</f>
        <v/>
      </c>
      <c r="G203" s="1785" t="str">
        <f>IF('3A.Occpcy&amp;Rent'!$D203="","",VLOOKUP($C203,'3A.Occpcy&amp;Rent'!$C$15:$L$414,5,FALSE))</f>
        <v/>
      </c>
      <c r="H203" s="1727"/>
      <c r="I203" s="1727"/>
      <c r="J203" s="1727"/>
      <c r="K203" s="1727"/>
      <c r="L203" s="1727"/>
      <c r="M203" s="1469"/>
      <c r="N203" s="1729"/>
      <c r="P203" s="1597">
        <f t="shared" si="6"/>
        <v>1</v>
      </c>
      <c r="Q203" s="1597">
        <f t="shared" si="8"/>
        <v>1</v>
      </c>
      <c r="R203">
        <f t="shared" si="7"/>
        <v>0</v>
      </c>
    </row>
    <row r="204" spans="3:18" ht="20.100000000000001" customHeight="1">
      <c r="C204" s="34">
        <v>190</v>
      </c>
      <c r="D204" s="1782" t="str">
        <f>IF('3A.Occpcy&amp;Rent'!$D204="","",VLOOKUP($C204,'3A.Occpcy&amp;Rent'!$C$15:$L$414,2,FALSE))</f>
        <v/>
      </c>
      <c r="E204" s="1783" t="str">
        <f>IF('3A.Occpcy&amp;Rent'!$D204="","",VLOOKUP($C204,'3A.Occpcy&amp;Rent'!$C$15:$L$414,3,FALSE))</f>
        <v/>
      </c>
      <c r="F204" s="1784" t="str">
        <f>IF('3A.Occpcy&amp;Rent'!$D204="","",VLOOKUP($C204,'3A.Occpcy&amp;Rent'!$C$15:$L$414,10,FALSE))</f>
        <v/>
      </c>
      <c r="G204" s="1785" t="str">
        <f>IF('3A.Occpcy&amp;Rent'!$D204="","",VLOOKUP($C204,'3A.Occpcy&amp;Rent'!$C$15:$L$414,5,FALSE))</f>
        <v/>
      </c>
      <c r="H204" s="1727"/>
      <c r="I204" s="1727"/>
      <c r="J204" s="1727"/>
      <c r="K204" s="1727"/>
      <c r="L204" s="1727"/>
      <c r="M204" s="1469"/>
      <c r="N204" s="1729"/>
      <c r="P204" s="1597">
        <f t="shared" si="6"/>
        <v>1</v>
      </c>
      <c r="Q204" s="1597">
        <f t="shared" si="8"/>
        <v>1</v>
      </c>
      <c r="R204">
        <f t="shared" si="7"/>
        <v>0</v>
      </c>
    </row>
    <row r="205" spans="3:18" ht="20.100000000000001" customHeight="1">
      <c r="C205" s="34">
        <v>191</v>
      </c>
      <c r="D205" s="1782" t="str">
        <f>IF('3A.Occpcy&amp;Rent'!$D205="","",VLOOKUP($C205,'3A.Occpcy&amp;Rent'!$C$15:$L$414,2,FALSE))</f>
        <v/>
      </c>
      <c r="E205" s="1783" t="str">
        <f>IF('3A.Occpcy&amp;Rent'!$D205="","",VLOOKUP($C205,'3A.Occpcy&amp;Rent'!$C$15:$L$414,3,FALSE))</f>
        <v/>
      </c>
      <c r="F205" s="1784" t="str">
        <f>IF('3A.Occpcy&amp;Rent'!$D205="","",VLOOKUP($C205,'3A.Occpcy&amp;Rent'!$C$15:$L$414,10,FALSE))</f>
        <v/>
      </c>
      <c r="G205" s="1785" t="str">
        <f>IF('3A.Occpcy&amp;Rent'!$D205="","",VLOOKUP($C205,'3A.Occpcy&amp;Rent'!$C$15:$L$414,5,FALSE))</f>
        <v/>
      </c>
      <c r="H205" s="1727"/>
      <c r="I205" s="1727"/>
      <c r="J205" s="1727"/>
      <c r="K205" s="1727"/>
      <c r="L205" s="1727"/>
      <c r="M205" s="1469"/>
      <c r="N205" s="1729"/>
      <c r="P205" s="1597">
        <f t="shared" si="6"/>
        <v>1</v>
      </c>
      <c r="Q205" s="1597">
        <f t="shared" si="8"/>
        <v>1</v>
      </c>
      <c r="R205">
        <f t="shared" si="7"/>
        <v>0</v>
      </c>
    </row>
    <row r="206" spans="3:18" ht="20.100000000000001" customHeight="1">
      <c r="C206" s="34">
        <v>192</v>
      </c>
      <c r="D206" s="1782" t="str">
        <f>IF('3A.Occpcy&amp;Rent'!$D206="","",VLOOKUP($C206,'3A.Occpcy&amp;Rent'!$C$15:$L$414,2,FALSE))</f>
        <v/>
      </c>
      <c r="E206" s="1783" t="str">
        <f>IF('3A.Occpcy&amp;Rent'!$D206="","",VLOOKUP($C206,'3A.Occpcy&amp;Rent'!$C$15:$L$414,3,FALSE))</f>
        <v/>
      </c>
      <c r="F206" s="1784" t="str">
        <f>IF('3A.Occpcy&amp;Rent'!$D206="","",VLOOKUP($C206,'3A.Occpcy&amp;Rent'!$C$15:$L$414,10,FALSE))</f>
        <v/>
      </c>
      <c r="G206" s="1785" t="str">
        <f>IF('3A.Occpcy&amp;Rent'!$D206="","",VLOOKUP($C206,'3A.Occpcy&amp;Rent'!$C$15:$L$414,5,FALSE))</f>
        <v/>
      </c>
      <c r="H206" s="1727"/>
      <c r="I206" s="1727"/>
      <c r="J206" s="1727"/>
      <c r="K206" s="1727"/>
      <c r="L206" s="1727"/>
      <c r="M206" s="1469"/>
      <c r="N206" s="1729"/>
      <c r="P206" s="1597">
        <f t="shared" si="6"/>
        <v>1</v>
      </c>
      <c r="Q206" s="1597">
        <f t="shared" si="8"/>
        <v>1</v>
      </c>
      <c r="R206">
        <f t="shared" si="7"/>
        <v>0</v>
      </c>
    </row>
    <row r="207" spans="3:18" ht="20.100000000000001" customHeight="1">
      <c r="C207" s="34">
        <v>193</v>
      </c>
      <c r="D207" s="1782" t="str">
        <f>IF('3A.Occpcy&amp;Rent'!$D207="","",VLOOKUP($C207,'3A.Occpcy&amp;Rent'!$C$15:$L$414,2,FALSE))</f>
        <v/>
      </c>
      <c r="E207" s="1783" t="str">
        <f>IF('3A.Occpcy&amp;Rent'!$D207="","",VLOOKUP($C207,'3A.Occpcy&amp;Rent'!$C$15:$L$414,3,FALSE))</f>
        <v/>
      </c>
      <c r="F207" s="1784" t="str">
        <f>IF('3A.Occpcy&amp;Rent'!$D207="","",VLOOKUP($C207,'3A.Occpcy&amp;Rent'!$C$15:$L$414,10,FALSE))</f>
        <v/>
      </c>
      <c r="G207" s="1785" t="str">
        <f>IF('3A.Occpcy&amp;Rent'!$D207="","",VLOOKUP($C207,'3A.Occpcy&amp;Rent'!$C$15:$L$414,5,FALSE))</f>
        <v/>
      </c>
      <c r="H207" s="1727"/>
      <c r="I207" s="1727"/>
      <c r="J207" s="1727"/>
      <c r="K207" s="1727"/>
      <c r="L207" s="1727"/>
      <c r="M207" s="1469"/>
      <c r="N207" s="1729"/>
      <c r="P207" s="1597">
        <f t="shared" ref="P207:P270" si="9">IF(AND(D207&lt;&gt;0,H207&lt;&gt;0,I207&lt;&gt;0),1,IF(AND(D207="",H207="",I207=""),1,0))</f>
        <v>1</v>
      </c>
      <c r="Q207" s="1597">
        <f t="shared" si="8"/>
        <v>1</v>
      </c>
      <c r="R207">
        <f t="shared" ref="R207:R270" si="10">IF(H207=$V$14,$V$14,IF(OR(AND(H207=$V$15,I207=$W$24),AND(H207=$V$16,I207=$W$24)),$W$24,IF(OR(AND(H207=$V$15,I207&lt;&gt;$W$24),AND(H207=$V$16,I207&lt;&gt;$W$24)),I207,0)))</f>
        <v>0</v>
      </c>
    </row>
    <row r="208" spans="3:18" ht="20.100000000000001" customHeight="1">
      <c r="C208" s="34">
        <v>194</v>
      </c>
      <c r="D208" s="1782" t="str">
        <f>IF('3A.Occpcy&amp;Rent'!$D208="","",VLOOKUP($C208,'3A.Occpcy&amp;Rent'!$C$15:$L$414,2,FALSE))</f>
        <v/>
      </c>
      <c r="E208" s="1783" t="str">
        <f>IF('3A.Occpcy&amp;Rent'!$D208="","",VLOOKUP($C208,'3A.Occpcy&amp;Rent'!$C$15:$L$414,3,FALSE))</f>
        <v/>
      </c>
      <c r="F208" s="1784" t="str">
        <f>IF('3A.Occpcy&amp;Rent'!$D208="","",VLOOKUP($C208,'3A.Occpcy&amp;Rent'!$C$15:$L$414,10,FALSE))</f>
        <v/>
      </c>
      <c r="G208" s="1785" t="str">
        <f>IF('3A.Occpcy&amp;Rent'!$D208="","",VLOOKUP($C208,'3A.Occpcy&amp;Rent'!$C$15:$L$414,5,FALSE))</f>
        <v/>
      </c>
      <c r="H208" s="1727"/>
      <c r="I208" s="1727"/>
      <c r="J208" s="1727"/>
      <c r="K208" s="1727"/>
      <c r="L208" s="1727"/>
      <c r="M208" s="1469"/>
      <c r="N208" s="1729"/>
      <c r="P208" s="1597">
        <f t="shared" si="9"/>
        <v>1</v>
      </c>
      <c r="Q208" s="1597">
        <f t="shared" ref="Q208:Q271" si="11">IF(AND(D208&lt;&gt;0,J208&lt;&gt;0,K208&lt;&gt;0),1,IF(AND(D208="",J208="",K208=""),1,0))</f>
        <v>1</v>
      </c>
      <c r="R208">
        <f t="shared" si="10"/>
        <v>0</v>
      </c>
    </row>
    <row r="209" spans="3:18" ht="20.100000000000001" customHeight="1">
      <c r="C209" s="34">
        <v>195</v>
      </c>
      <c r="D209" s="1782" t="str">
        <f>IF('3A.Occpcy&amp;Rent'!$D209="","",VLOOKUP($C209,'3A.Occpcy&amp;Rent'!$C$15:$L$414,2,FALSE))</f>
        <v/>
      </c>
      <c r="E209" s="1783" t="str">
        <f>IF('3A.Occpcy&amp;Rent'!$D209="","",VLOOKUP($C209,'3A.Occpcy&amp;Rent'!$C$15:$L$414,3,FALSE))</f>
        <v/>
      </c>
      <c r="F209" s="1784" t="str">
        <f>IF('3A.Occpcy&amp;Rent'!$D209="","",VLOOKUP($C209,'3A.Occpcy&amp;Rent'!$C$15:$L$414,10,FALSE))</f>
        <v/>
      </c>
      <c r="G209" s="1785" t="str">
        <f>IF('3A.Occpcy&amp;Rent'!$D209="","",VLOOKUP($C209,'3A.Occpcy&amp;Rent'!$C$15:$L$414,5,FALSE))</f>
        <v/>
      </c>
      <c r="H209" s="1727"/>
      <c r="I209" s="1727"/>
      <c r="J209" s="1727"/>
      <c r="K209" s="1727"/>
      <c r="L209" s="1727"/>
      <c r="M209" s="1469"/>
      <c r="N209" s="1729"/>
      <c r="P209" s="1597">
        <f t="shared" si="9"/>
        <v>1</v>
      </c>
      <c r="Q209" s="1597">
        <f t="shared" si="11"/>
        <v>1</v>
      </c>
      <c r="R209">
        <f t="shared" si="10"/>
        <v>0</v>
      </c>
    </row>
    <row r="210" spans="3:18" ht="20.100000000000001" customHeight="1">
      <c r="C210" s="34">
        <v>196</v>
      </c>
      <c r="D210" s="1782" t="str">
        <f>IF('3A.Occpcy&amp;Rent'!$D210="","",VLOOKUP($C210,'3A.Occpcy&amp;Rent'!$C$15:$L$414,2,FALSE))</f>
        <v/>
      </c>
      <c r="E210" s="1783" t="str">
        <f>IF('3A.Occpcy&amp;Rent'!$D210="","",VLOOKUP($C210,'3A.Occpcy&amp;Rent'!$C$15:$L$414,3,FALSE))</f>
        <v/>
      </c>
      <c r="F210" s="1784" t="str">
        <f>IF('3A.Occpcy&amp;Rent'!$D210="","",VLOOKUP($C210,'3A.Occpcy&amp;Rent'!$C$15:$L$414,10,FALSE))</f>
        <v/>
      </c>
      <c r="G210" s="1785" t="str">
        <f>IF('3A.Occpcy&amp;Rent'!$D210="","",VLOOKUP($C210,'3A.Occpcy&amp;Rent'!$C$15:$L$414,5,FALSE))</f>
        <v/>
      </c>
      <c r="H210" s="1727"/>
      <c r="I210" s="1727"/>
      <c r="J210" s="1727"/>
      <c r="K210" s="1727"/>
      <c r="L210" s="1727"/>
      <c r="M210" s="1469"/>
      <c r="N210" s="1729"/>
      <c r="P210" s="1597">
        <f t="shared" si="9"/>
        <v>1</v>
      </c>
      <c r="Q210" s="1597">
        <f t="shared" si="11"/>
        <v>1</v>
      </c>
      <c r="R210">
        <f t="shared" si="10"/>
        <v>0</v>
      </c>
    </row>
    <row r="211" spans="3:18" ht="20.100000000000001" customHeight="1">
      <c r="C211" s="34">
        <v>197</v>
      </c>
      <c r="D211" s="1782" t="str">
        <f>IF('3A.Occpcy&amp;Rent'!$D211="","",VLOOKUP($C211,'3A.Occpcy&amp;Rent'!$C$15:$L$414,2,FALSE))</f>
        <v/>
      </c>
      <c r="E211" s="1783" t="str">
        <f>IF('3A.Occpcy&amp;Rent'!$D211="","",VLOOKUP($C211,'3A.Occpcy&amp;Rent'!$C$15:$L$414,3,FALSE))</f>
        <v/>
      </c>
      <c r="F211" s="1784" t="str">
        <f>IF('3A.Occpcy&amp;Rent'!$D211="","",VLOOKUP($C211,'3A.Occpcy&amp;Rent'!$C$15:$L$414,10,FALSE))</f>
        <v/>
      </c>
      <c r="G211" s="1785" t="str">
        <f>IF('3A.Occpcy&amp;Rent'!$D211="","",VLOOKUP($C211,'3A.Occpcy&amp;Rent'!$C$15:$L$414,5,FALSE))</f>
        <v/>
      </c>
      <c r="H211" s="1727"/>
      <c r="I211" s="1727"/>
      <c r="J211" s="1727"/>
      <c r="K211" s="1727"/>
      <c r="L211" s="1727"/>
      <c r="M211" s="1469"/>
      <c r="N211" s="1729"/>
      <c r="P211" s="1597">
        <f t="shared" si="9"/>
        <v>1</v>
      </c>
      <c r="Q211" s="1597">
        <f t="shared" si="11"/>
        <v>1</v>
      </c>
      <c r="R211">
        <f t="shared" si="10"/>
        <v>0</v>
      </c>
    </row>
    <row r="212" spans="3:18" ht="20.100000000000001" customHeight="1">
      <c r="C212" s="34">
        <v>198</v>
      </c>
      <c r="D212" s="1782" t="str">
        <f>IF('3A.Occpcy&amp;Rent'!$D212="","",VLOOKUP($C212,'3A.Occpcy&amp;Rent'!$C$15:$L$414,2,FALSE))</f>
        <v/>
      </c>
      <c r="E212" s="1783" t="str">
        <f>IF('3A.Occpcy&amp;Rent'!$D212="","",VLOOKUP($C212,'3A.Occpcy&amp;Rent'!$C$15:$L$414,3,FALSE))</f>
        <v/>
      </c>
      <c r="F212" s="1784" t="str">
        <f>IF('3A.Occpcy&amp;Rent'!$D212="","",VLOOKUP($C212,'3A.Occpcy&amp;Rent'!$C$15:$L$414,10,FALSE))</f>
        <v/>
      </c>
      <c r="G212" s="1785" t="str">
        <f>IF('3A.Occpcy&amp;Rent'!$D212="","",VLOOKUP($C212,'3A.Occpcy&amp;Rent'!$C$15:$L$414,5,FALSE))</f>
        <v/>
      </c>
      <c r="H212" s="1727"/>
      <c r="I212" s="1727"/>
      <c r="J212" s="1727"/>
      <c r="K212" s="1727"/>
      <c r="L212" s="1727"/>
      <c r="M212" s="1469"/>
      <c r="N212" s="1729"/>
      <c r="P212" s="1597">
        <f t="shared" si="9"/>
        <v>1</v>
      </c>
      <c r="Q212" s="1597">
        <f t="shared" si="11"/>
        <v>1</v>
      </c>
      <c r="R212">
        <f t="shared" si="10"/>
        <v>0</v>
      </c>
    </row>
    <row r="213" spans="3:18" ht="20.100000000000001" customHeight="1">
      <c r="C213" s="34">
        <v>199</v>
      </c>
      <c r="D213" s="1782" t="str">
        <f>IF('3A.Occpcy&amp;Rent'!$D213="","",VLOOKUP($C213,'3A.Occpcy&amp;Rent'!$C$15:$L$414,2,FALSE))</f>
        <v/>
      </c>
      <c r="E213" s="1783" t="str">
        <f>IF('3A.Occpcy&amp;Rent'!$D213="","",VLOOKUP($C213,'3A.Occpcy&amp;Rent'!$C$15:$L$414,3,FALSE))</f>
        <v/>
      </c>
      <c r="F213" s="1784" t="str">
        <f>IF('3A.Occpcy&amp;Rent'!$D213="","",VLOOKUP($C213,'3A.Occpcy&amp;Rent'!$C$15:$L$414,10,FALSE))</f>
        <v/>
      </c>
      <c r="G213" s="1785" t="str">
        <f>IF('3A.Occpcy&amp;Rent'!$D213="","",VLOOKUP($C213,'3A.Occpcy&amp;Rent'!$C$15:$L$414,5,FALSE))</f>
        <v/>
      </c>
      <c r="H213" s="1727"/>
      <c r="I213" s="1727"/>
      <c r="J213" s="1727"/>
      <c r="K213" s="1727"/>
      <c r="L213" s="1727"/>
      <c r="M213" s="1469"/>
      <c r="N213" s="1729"/>
      <c r="P213" s="1597">
        <f t="shared" si="9"/>
        <v>1</v>
      </c>
      <c r="Q213" s="1597">
        <f t="shared" si="11"/>
        <v>1</v>
      </c>
      <c r="R213">
        <f t="shared" si="10"/>
        <v>0</v>
      </c>
    </row>
    <row r="214" spans="3:18" ht="20.100000000000001" customHeight="1">
      <c r="C214" s="34">
        <v>200</v>
      </c>
      <c r="D214" s="1782" t="str">
        <f>IF('3A.Occpcy&amp;Rent'!$D214="","",VLOOKUP($C214,'3A.Occpcy&amp;Rent'!$C$15:$L$414,2,FALSE))</f>
        <v/>
      </c>
      <c r="E214" s="1783" t="str">
        <f>IF('3A.Occpcy&amp;Rent'!$D214="","",VLOOKUP($C214,'3A.Occpcy&amp;Rent'!$C$15:$L$414,3,FALSE))</f>
        <v/>
      </c>
      <c r="F214" s="1784" t="str">
        <f>IF('3A.Occpcy&amp;Rent'!$D214="","",VLOOKUP($C214,'3A.Occpcy&amp;Rent'!$C$15:$L$414,10,FALSE))</f>
        <v/>
      </c>
      <c r="G214" s="1785" t="str">
        <f>IF('3A.Occpcy&amp;Rent'!$D214="","",VLOOKUP($C214,'3A.Occpcy&amp;Rent'!$C$15:$L$414,5,FALSE))</f>
        <v/>
      </c>
      <c r="H214" s="1727"/>
      <c r="I214" s="1727"/>
      <c r="J214" s="1727"/>
      <c r="K214" s="1727"/>
      <c r="L214" s="1727"/>
      <c r="M214" s="1469"/>
      <c r="N214" s="1729"/>
      <c r="P214" s="1597">
        <f t="shared" si="9"/>
        <v>1</v>
      </c>
      <c r="Q214" s="1597">
        <f t="shared" si="11"/>
        <v>1</v>
      </c>
      <c r="R214">
        <f t="shared" si="10"/>
        <v>0</v>
      </c>
    </row>
    <row r="215" spans="3:18" ht="20.100000000000001" customHeight="1">
      <c r="C215" s="34">
        <v>201</v>
      </c>
      <c r="D215" s="1782" t="str">
        <f>IF('3A.Occpcy&amp;Rent'!$D215="","",VLOOKUP($C215,'3A.Occpcy&amp;Rent'!$C$15:$L$414,2,FALSE))</f>
        <v/>
      </c>
      <c r="E215" s="1783" t="str">
        <f>IF('3A.Occpcy&amp;Rent'!$D215="","",VLOOKUP($C215,'3A.Occpcy&amp;Rent'!$C$15:$L$414,3,FALSE))</f>
        <v/>
      </c>
      <c r="F215" s="1784" t="str">
        <f>IF('3A.Occpcy&amp;Rent'!$D215="","",VLOOKUP($C215,'3A.Occpcy&amp;Rent'!$C$15:$L$414,10,FALSE))</f>
        <v/>
      </c>
      <c r="G215" s="1785" t="str">
        <f>IF('3A.Occpcy&amp;Rent'!$D215="","",VLOOKUP($C215,'3A.Occpcy&amp;Rent'!$C$15:$L$414,5,FALSE))</f>
        <v/>
      </c>
      <c r="H215" s="1727"/>
      <c r="I215" s="1727"/>
      <c r="J215" s="1727"/>
      <c r="K215" s="1727"/>
      <c r="L215" s="1727"/>
      <c r="M215" s="1469"/>
      <c r="N215" s="1729"/>
      <c r="P215" s="1597">
        <f t="shared" si="9"/>
        <v>1</v>
      </c>
      <c r="Q215" s="1597">
        <f t="shared" si="11"/>
        <v>1</v>
      </c>
      <c r="R215">
        <f t="shared" si="10"/>
        <v>0</v>
      </c>
    </row>
    <row r="216" spans="3:18" ht="20.100000000000001" customHeight="1">
      <c r="C216" s="34">
        <v>202</v>
      </c>
      <c r="D216" s="1782" t="str">
        <f>IF('3A.Occpcy&amp;Rent'!$D216="","",VLOOKUP($C216,'3A.Occpcy&amp;Rent'!$C$15:$L$414,2,FALSE))</f>
        <v/>
      </c>
      <c r="E216" s="1783" t="str">
        <f>IF('3A.Occpcy&amp;Rent'!$D216="","",VLOOKUP($C216,'3A.Occpcy&amp;Rent'!$C$15:$L$414,3,FALSE))</f>
        <v/>
      </c>
      <c r="F216" s="1784" t="str">
        <f>IF('3A.Occpcy&amp;Rent'!$D216="","",VLOOKUP($C216,'3A.Occpcy&amp;Rent'!$C$15:$L$414,10,FALSE))</f>
        <v/>
      </c>
      <c r="G216" s="1785" t="str">
        <f>IF('3A.Occpcy&amp;Rent'!$D216="","",VLOOKUP($C216,'3A.Occpcy&amp;Rent'!$C$15:$L$414,5,FALSE))</f>
        <v/>
      </c>
      <c r="H216" s="1727"/>
      <c r="I216" s="1727"/>
      <c r="J216" s="1727"/>
      <c r="K216" s="1727"/>
      <c r="L216" s="1727"/>
      <c r="M216" s="1469"/>
      <c r="N216" s="1729"/>
      <c r="P216" s="1597">
        <f t="shared" si="9"/>
        <v>1</v>
      </c>
      <c r="Q216" s="1597">
        <f t="shared" si="11"/>
        <v>1</v>
      </c>
      <c r="R216">
        <f t="shared" si="10"/>
        <v>0</v>
      </c>
    </row>
    <row r="217" spans="3:18" ht="20.100000000000001" customHeight="1">
      <c r="C217" s="34">
        <v>203</v>
      </c>
      <c r="D217" s="1782" t="str">
        <f>IF('3A.Occpcy&amp;Rent'!$D217="","",VLOOKUP($C217,'3A.Occpcy&amp;Rent'!$C$15:$L$414,2,FALSE))</f>
        <v/>
      </c>
      <c r="E217" s="1783" t="str">
        <f>IF('3A.Occpcy&amp;Rent'!$D217="","",VLOOKUP($C217,'3A.Occpcy&amp;Rent'!$C$15:$L$414,3,FALSE))</f>
        <v/>
      </c>
      <c r="F217" s="1784" t="str">
        <f>IF('3A.Occpcy&amp;Rent'!$D217="","",VLOOKUP($C217,'3A.Occpcy&amp;Rent'!$C$15:$L$414,10,FALSE))</f>
        <v/>
      </c>
      <c r="G217" s="1785" t="str">
        <f>IF('3A.Occpcy&amp;Rent'!$D217="","",VLOOKUP($C217,'3A.Occpcy&amp;Rent'!$C$15:$L$414,5,FALSE))</f>
        <v/>
      </c>
      <c r="H217" s="1727"/>
      <c r="I217" s="1727"/>
      <c r="J217" s="1727"/>
      <c r="K217" s="1727"/>
      <c r="L217" s="1727"/>
      <c r="M217" s="1469"/>
      <c r="N217" s="1729"/>
      <c r="P217" s="1597">
        <f t="shared" si="9"/>
        <v>1</v>
      </c>
      <c r="Q217" s="1597">
        <f t="shared" si="11"/>
        <v>1</v>
      </c>
      <c r="R217">
        <f t="shared" si="10"/>
        <v>0</v>
      </c>
    </row>
    <row r="218" spans="3:18" ht="20.100000000000001" customHeight="1">
      <c r="C218" s="34">
        <v>204</v>
      </c>
      <c r="D218" s="1782" t="str">
        <f>IF('3A.Occpcy&amp;Rent'!$D218="","",VLOOKUP($C218,'3A.Occpcy&amp;Rent'!$C$15:$L$414,2,FALSE))</f>
        <v/>
      </c>
      <c r="E218" s="1783" t="str">
        <f>IF('3A.Occpcy&amp;Rent'!$D218="","",VLOOKUP($C218,'3A.Occpcy&amp;Rent'!$C$15:$L$414,3,FALSE))</f>
        <v/>
      </c>
      <c r="F218" s="1784" t="str">
        <f>IF('3A.Occpcy&amp;Rent'!$D218="","",VLOOKUP($C218,'3A.Occpcy&amp;Rent'!$C$15:$L$414,10,FALSE))</f>
        <v/>
      </c>
      <c r="G218" s="1785" t="str">
        <f>IF('3A.Occpcy&amp;Rent'!$D218="","",VLOOKUP($C218,'3A.Occpcy&amp;Rent'!$C$15:$L$414,5,FALSE))</f>
        <v/>
      </c>
      <c r="H218" s="1727"/>
      <c r="I218" s="1727"/>
      <c r="J218" s="1727"/>
      <c r="K218" s="1727"/>
      <c r="L218" s="1727"/>
      <c r="M218" s="1469"/>
      <c r="N218" s="1729"/>
      <c r="P218" s="1597">
        <f t="shared" si="9"/>
        <v>1</v>
      </c>
      <c r="Q218" s="1597">
        <f t="shared" si="11"/>
        <v>1</v>
      </c>
      <c r="R218">
        <f t="shared" si="10"/>
        <v>0</v>
      </c>
    </row>
    <row r="219" spans="3:18" ht="20.100000000000001" customHeight="1">
      <c r="C219" s="34">
        <v>205</v>
      </c>
      <c r="D219" s="1782" t="str">
        <f>IF('3A.Occpcy&amp;Rent'!$D219="","",VLOOKUP($C219,'3A.Occpcy&amp;Rent'!$C$15:$L$414,2,FALSE))</f>
        <v/>
      </c>
      <c r="E219" s="1783" t="str">
        <f>IF('3A.Occpcy&amp;Rent'!$D219="","",VLOOKUP($C219,'3A.Occpcy&amp;Rent'!$C$15:$L$414,3,FALSE))</f>
        <v/>
      </c>
      <c r="F219" s="1784" t="str">
        <f>IF('3A.Occpcy&amp;Rent'!$D219="","",VLOOKUP($C219,'3A.Occpcy&amp;Rent'!$C$15:$L$414,10,FALSE))</f>
        <v/>
      </c>
      <c r="G219" s="1785" t="str">
        <f>IF('3A.Occpcy&amp;Rent'!$D219="","",VLOOKUP($C219,'3A.Occpcy&amp;Rent'!$C$15:$L$414,5,FALSE))</f>
        <v/>
      </c>
      <c r="H219" s="1727"/>
      <c r="I219" s="1727"/>
      <c r="J219" s="1727"/>
      <c r="K219" s="1727"/>
      <c r="L219" s="1727"/>
      <c r="M219" s="1469"/>
      <c r="N219" s="1729"/>
      <c r="P219" s="1597">
        <f t="shared" si="9"/>
        <v>1</v>
      </c>
      <c r="Q219" s="1597">
        <f t="shared" si="11"/>
        <v>1</v>
      </c>
      <c r="R219">
        <f t="shared" si="10"/>
        <v>0</v>
      </c>
    </row>
    <row r="220" spans="3:18" ht="20.100000000000001" customHeight="1">
      <c r="C220" s="34">
        <v>206</v>
      </c>
      <c r="D220" s="1782" t="str">
        <f>IF('3A.Occpcy&amp;Rent'!$D220="","",VLOOKUP($C220,'3A.Occpcy&amp;Rent'!$C$15:$L$414,2,FALSE))</f>
        <v/>
      </c>
      <c r="E220" s="1783" t="str">
        <f>IF('3A.Occpcy&amp;Rent'!$D220="","",VLOOKUP($C220,'3A.Occpcy&amp;Rent'!$C$15:$L$414,3,FALSE))</f>
        <v/>
      </c>
      <c r="F220" s="1784" t="str">
        <f>IF('3A.Occpcy&amp;Rent'!$D220="","",VLOOKUP($C220,'3A.Occpcy&amp;Rent'!$C$15:$L$414,10,FALSE))</f>
        <v/>
      </c>
      <c r="G220" s="1785" t="str">
        <f>IF('3A.Occpcy&amp;Rent'!$D220="","",VLOOKUP($C220,'3A.Occpcy&amp;Rent'!$C$15:$L$414,5,FALSE))</f>
        <v/>
      </c>
      <c r="H220" s="1727"/>
      <c r="I220" s="1727"/>
      <c r="J220" s="1727"/>
      <c r="K220" s="1727"/>
      <c r="L220" s="1727"/>
      <c r="M220" s="1469"/>
      <c r="N220" s="1729"/>
      <c r="P220" s="1597">
        <f t="shared" si="9"/>
        <v>1</v>
      </c>
      <c r="Q220" s="1597">
        <f t="shared" si="11"/>
        <v>1</v>
      </c>
      <c r="R220">
        <f t="shared" si="10"/>
        <v>0</v>
      </c>
    </row>
    <row r="221" spans="3:18" ht="20.100000000000001" customHeight="1">
      <c r="C221" s="34">
        <v>207</v>
      </c>
      <c r="D221" s="1782" t="str">
        <f>IF('3A.Occpcy&amp;Rent'!$D221="","",VLOOKUP($C221,'3A.Occpcy&amp;Rent'!$C$15:$L$414,2,FALSE))</f>
        <v/>
      </c>
      <c r="E221" s="1783" t="str">
        <f>IF('3A.Occpcy&amp;Rent'!$D221="","",VLOOKUP($C221,'3A.Occpcy&amp;Rent'!$C$15:$L$414,3,FALSE))</f>
        <v/>
      </c>
      <c r="F221" s="1784" t="str">
        <f>IF('3A.Occpcy&amp;Rent'!$D221="","",VLOOKUP($C221,'3A.Occpcy&amp;Rent'!$C$15:$L$414,10,FALSE))</f>
        <v/>
      </c>
      <c r="G221" s="1785" t="str">
        <f>IF('3A.Occpcy&amp;Rent'!$D221="","",VLOOKUP($C221,'3A.Occpcy&amp;Rent'!$C$15:$L$414,5,FALSE))</f>
        <v/>
      </c>
      <c r="H221" s="1727"/>
      <c r="I221" s="1727"/>
      <c r="J221" s="1727"/>
      <c r="K221" s="1727"/>
      <c r="L221" s="1727"/>
      <c r="M221" s="1469"/>
      <c r="N221" s="1729"/>
      <c r="P221" s="1597">
        <f t="shared" si="9"/>
        <v>1</v>
      </c>
      <c r="Q221" s="1597">
        <f t="shared" si="11"/>
        <v>1</v>
      </c>
      <c r="R221">
        <f t="shared" si="10"/>
        <v>0</v>
      </c>
    </row>
    <row r="222" spans="3:18" ht="20.100000000000001" customHeight="1">
      <c r="C222" s="34">
        <v>208</v>
      </c>
      <c r="D222" s="1782" t="str">
        <f>IF('3A.Occpcy&amp;Rent'!$D222="","",VLOOKUP($C222,'3A.Occpcy&amp;Rent'!$C$15:$L$414,2,FALSE))</f>
        <v/>
      </c>
      <c r="E222" s="1783" t="str">
        <f>IF('3A.Occpcy&amp;Rent'!$D222="","",VLOOKUP($C222,'3A.Occpcy&amp;Rent'!$C$15:$L$414,3,FALSE))</f>
        <v/>
      </c>
      <c r="F222" s="1784" t="str">
        <f>IF('3A.Occpcy&amp;Rent'!$D222="","",VLOOKUP($C222,'3A.Occpcy&amp;Rent'!$C$15:$L$414,10,FALSE))</f>
        <v/>
      </c>
      <c r="G222" s="1785" t="str">
        <f>IF('3A.Occpcy&amp;Rent'!$D222="","",VLOOKUP($C222,'3A.Occpcy&amp;Rent'!$C$15:$L$414,5,FALSE))</f>
        <v/>
      </c>
      <c r="H222" s="1727"/>
      <c r="I222" s="1727"/>
      <c r="J222" s="1727"/>
      <c r="K222" s="1727"/>
      <c r="L222" s="1727"/>
      <c r="M222" s="1469"/>
      <c r="N222" s="1729"/>
      <c r="P222" s="1597">
        <f t="shared" si="9"/>
        <v>1</v>
      </c>
      <c r="Q222" s="1597">
        <f t="shared" si="11"/>
        <v>1</v>
      </c>
      <c r="R222">
        <f t="shared" si="10"/>
        <v>0</v>
      </c>
    </row>
    <row r="223" spans="3:18" ht="20.100000000000001" customHeight="1">
      <c r="C223" s="34">
        <v>209</v>
      </c>
      <c r="D223" s="1782" t="str">
        <f>IF('3A.Occpcy&amp;Rent'!$D223="","",VLOOKUP($C223,'3A.Occpcy&amp;Rent'!$C$15:$L$414,2,FALSE))</f>
        <v/>
      </c>
      <c r="E223" s="1783" t="str">
        <f>IF('3A.Occpcy&amp;Rent'!$D223="","",VLOOKUP($C223,'3A.Occpcy&amp;Rent'!$C$15:$L$414,3,FALSE))</f>
        <v/>
      </c>
      <c r="F223" s="1784" t="str">
        <f>IF('3A.Occpcy&amp;Rent'!$D223="","",VLOOKUP($C223,'3A.Occpcy&amp;Rent'!$C$15:$L$414,10,FALSE))</f>
        <v/>
      </c>
      <c r="G223" s="1785" t="str">
        <f>IF('3A.Occpcy&amp;Rent'!$D223="","",VLOOKUP($C223,'3A.Occpcy&amp;Rent'!$C$15:$L$414,5,FALSE))</f>
        <v/>
      </c>
      <c r="H223" s="1727"/>
      <c r="I223" s="1727"/>
      <c r="J223" s="1727"/>
      <c r="K223" s="1727"/>
      <c r="L223" s="1727"/>
      <c r="M223" s="1469"/>
      <c r="N223" s="1729"/>
      <c r="P223" s="1597">
        <f t="shared" si="9"/>
        <v>1</v>
      </c>
      <c r="Q223" s="1597">
        <f t="shared" si="11"/>
        <v>1</v>
      </c>
      <c r="R223">
        <f t="shared" si="10"/>
        <v>0</v>
      </c>
    </row>
    <row r="224" spans="3:18" ht="20.100000000000001" customHeight="1">
      <c r="C224" s="34">
        <v>210</v>
      </c>
      <c r="D224" s="1782" t="str">
        <f>IF('3A.Occpcy&amp;Rent'!$D224="","",VLOOKUP($C224,'3A.Occpcy&amp;Rent'!$C$15:$L$414,2,FALSE))</f>
        <v/>
      </c>
      <c r="E224" s="1783" t="str">
        <f>IF('3A.Occpcy&amp;Rent'!$D224="","",VLOOKUP($C224,'3A.Occpcy&amp;Rent'!$C$15:$L$414,3,FALSE))</f>
        <v/>
      </c>
      <c r="F224" s="1784" t="str">
        <f>IF('3A.Occpcy&amp;Rent'!$D224="","",VLOOKUP($C224,'3A.Occpcy&amp;Rent'!$C$15:$L$414,10,FALSE))</f>
        <v/>
      </c>
      <c r="G224" s="1785" t="str">
        <f>IF('3A.Occpcy&amp;Rent'!$D224="","",VLOOKUP($C224,'3A.Occpcy&amp;Rent'!$C$15:$L$414,5,FALSE))</f>
        <v/>
      </c>
      <c r="H224" s="1727"/>
      <c r="I224" s="1727"/>
      <c r="J224" s="1727"/>
      <c r="K224" s="1727"/>
      <c r="L224" s="1727"/>
      <c r="M224" s="1469"/>
      <c r="N224" s="1729"/>
      <c r="P224" s="1597">
        <f t="shared" si="9"/>
        <v>1</v>
      </c>
      <c r="Q224" s="1597">
        <f t="shared" si="11"/>
        <v>1</v>
      </c>
      <c r="R224">
        <f t="shared" si="10"/>
        <v>0</v>
      </c>
    </row>
    <row r="225" spans="3:18" ht="20.100000000000001" customHeight="1">
      <c r="C225" s="34">
        <v>211</v>
      </c>
      <c r="D225" s="1782" t="str">
        <f>IF('3A.Occpcy&amp;Rent'!$D225="","",VLOOKUP($C225,'3A.Occpcy&amp;Rent'!$C$15:$L$414,2,FALSE))</f>
        <v/>
      </c>
      <c r="E225" s="1783" t="str">
        <f>IF('3A.Occpcy&amp;Rent'!$D225="","",VLOOKUP($C225,'3A.Occpcy&amp;Rent'!$C$15:$L$414,3,FALSE))</f>
        <v/>
      </c>
      <c r="F225" s="1784" t="str">
        <f>IF('3A.Occpcy&amp;Rent'!$D225="","",VLOOKUP($C225,'3A.Occpcy&amp;Rent'!$C$15:$L$414,10,FALSE))</f>
        <v/>
      </c>
      <c r="G225" s="1785" t="str">
        <f>IF('3A.Occpcy&amp;Rent'!$D225="","",VLOOKUP($C225,'3A.Occpcy&amp;Rent'!$C$15:$L$414,5,FALSE))</f>
        <v/>
      </c>
      <c r="H225" s="1727"/>
      <c r="I225" s="1727"/>
      <c r="J225" s="1727"/>
      <c r="K225" s="1727"/>
      <c r="L225" s="1727"/>
      <c r="M225" s="1469"/>
      <c r="N225" s="1729"/>
      <c r="P225" s="1597">
        <f t="shared" si="9"/>
        <v>1</v>
      </c>
      <c r="Q225" s="1597">
        <f t="shared" si="11"/>
        <v>1</v>
      </c>
      <c r="R225">
        <f t="shared" si="10"/>
        <v>0</v>
      </c>
    </row>
    <row r="226" spans="3:18" ht="20.100000000000001" customHeight="1">
      <c r="C226" s="34">
        <v>212</v>
      </c>
      <c r="D226" s="1782" t="str">
        <f>IF('3A.Occpcy&amp;Rent'!$D226="","",VLOOKUP($C226,'3A.Occpcy&amp;Rent'!$C$15:$L$414,2,FALSE))</f>
        <v/>
      </c>
      <c r="E226" s="1783" t="str">
        <f>IF('3A.Occpcy&amp;Rent'!$D226="","",VLOOKUP($C226,'3A.Occpcy&amp;Rent'!$C$15:$L$414,3,FALSE))</f>
        <v/>
      </c>
      <c r="F226" s="1784" t="str">
        <f>IF('3A.Occpcy&amp;Rent'!$D226="","",VLOOKUP($C226,'3A.Occpcy&amp;Rent'!$C$15:$L$414,10,FALSE))</f>
        <v/>
      </c>
      <c r="G226" s="1785" t="str">
        <f>IF('3A.Occpcy&amp;Rent'!$D226="","",VLOOKUP($C226,'3A.Occpcy&amp;Rent'!$C$15:$L$414,5,FALSE))</f>
        <v/>
      </c>
      <c r="H226" s="1727"/>
      <c r="I226" s="1727"/>
      <c r="J226" s="1727"/>
      <c r="K226" s="1727"/>
      <c r="L226" s="1727"/>
      <c r="M226" s="1469"/>
      <c r="N226" s="1729"/>
      <c r="P226" s="1597">
        <f t="shared" si="9"/>
        <v>1</v>
      </c>
      <c r="Q226" s="1597">
        <f t="shared" si="11"/>
        <v>1</v>
      </c>
      <c r="R226">
        <f t="shared" si="10"/>
        <v>0</v>
      </c>
    </row>
    <row r="227" spans="3:18" ht="20.100000000000001" customHeight="1">
      <c r="C227" s="34">
        <v>213</v>
      </c>
      <c r="D227" s="1782" t="str">
        <f>IF('3A.Occpcy&amp;Rent'!$D227="","",VLOOKUP($C227,'3A.Occpcy&amp;Rent'!$C$15:$L$414,2,FALSE))</f>
        <v/>
      </c>
      <c r="E227" s="1783" t="str">
        <f>IF('3A.Occpcy&amp;Rent'!$D227="","",VLOOKUP($C227,'3A.Occpcy&amp;Rent'!$C$15:$L$414,3,FALSE))</f>
        <v/>
      </c>
      <c r="F227" s="1784" t="str">
        <f>IF('3A.Occpcy&amp;Rent'!$D227="","",VLOOKUP($C227,'3A.Occpcy&amp;Rent'!$C$15:$L$414,10,FALSE))</f>
        <v/>
      </c>
      <c r="G227" s="1785" t="str">
        <f>IF('3A.Occpcy&amp;Rent'!$D227="","",VLOOKUP($C227,'3A.Occpcy&amp;Rent'!$C$15:$L$414,5,FALSE))</f>
        <v/>
      </c>
      <c r="H227" s="1727"/>
      <c r="I227" s="1727"/>
      <c r="J227" s="1727"/>
      <c r="K227" s="1727"/>
      <c r="L227" s="1727"/>
      <c r="M227" s="1469"/>
      <c r="N227" s="1729"/>
      <c r="P227" s="1597">
        <f t="shared" si="9"/>
        <v>1</v>
      </c>
      <c r="Q227" s="1597">
        <f t="shared" si="11"/>
        <v>1</v>
      </c>
      <c r="R227">
        <f t="shared" si="10"/>
        <v>0</v>
      </c>
    </row>
    <row r="228" spans="3:18" ht="20.100000000000001" customHeight="1">
      <c r="C228" s="34">
        <v>214</v>
      </c>
      <c r="D228" s="1782" t="str">
        <f>IF('3A.Occpcy&amp;Rent'!$D228="","",VLOOKUP($C228,'3A.Occpcy&amp;Rent'!$C$15:$L$414,2,FALSE))</f>
        <v/>
      </c>
      <c r="E228" s="1783" t="str">
        <f>IF('3A.Occpcy&amp;Rent'!$D228="","",VLOOKUP($C228,'3A.Occpcy&amp;Rent'!$C$15:$L$414,3,FALSE))</f>
        <v/>
      </c>
      <c r="F228" s="1784" t="str">
        <f>IF('3A.Occpcy&amp;Rent'!$D228="","",VLOOKUP($C228,'3A.Occpcy&amp;Rent'!$C$15:$L$414,10,FALSE))</f>
        <v/>
      </c>
      <c r="G228" s="1785" t="str">
        <f>IF('3A.Occpcy&amp;Rent'!$D228="","",VLOOKUP($C228,'3A.Occpcy&amp;Rent'!$C$15:$L$414,5,FALSE))</f>
        <v/>
      </c>
      <c r="H228" s="1727"/>
      <c r="I228" s="1727"/>
      <c r="J228" s="1727"/>
      <c r="K228" s="1727"/>
      <c r="L228" s="1727"/>
      <c r="M228" s="1469"/>
      <c r="N228" s="1729"/>
      <c r="P228" s="1597">
        <f t="shared" si="9"/>
        <v>1</v>
      </c>
      <c r="Q228" s="1597">
        <f t="shared" si="11"/>
        <v>1</v>
      </c>
      <c r="R228">
        <f t="shared" si="10"/>
        <v>0</v>
      </c>
    </row>
    <row r="229" spans="3:18" ht="20.100000000000001" customHeight="1">
      <c r="C229" s="34">
        <v>215</v>
      </c>
      <c r="D229" s="1782" t="str">
        <f>IF('3A.Occpcy&amp;Rent'!$D229="","",VLOOKUP($C229,'3A.Occpcy&amp;Rent'!$C$15:$L$414,2,FALSE))</f>
        <v/>
      </c>
      <c r="E229" s="1783" t="str">
        <f>IF('3A.Occpcy&amp;Rent'!$D229="","",VLOOKUP($C229,'3A.Occpcy&amp;Rent'!$C$15:$L$414,3,FALSE))</f>
        <v/>
      </c>
      <c r="F229" s="1784" t="str">
        <f>IF('3A.Occpcy&amp;Rent'!$D229="","",VLOOKUP($C229,'3A.Occpcy&amp;Rent'!$C$15:$L$414,10,FALSE))</f>
        <v/>
      </c>
      <c r="G229" s="1785" t="str">
        <f>IF('3A.Occpcy&amp;Rent'!$D229="","",VLOOKUP($C229,'3A.Occpcy&amp;Rent'!$C$15:$L$414,5,FALSE))</f>
        <v/>
      </c>
      <c r="H229" s="1727"/>
      <c r="I229" s="1727"/>
      <c r="J229" s="1727"/>
      <c r="K229" s="1727"/>
      <c r="L229" s="1727"/>
      <c r="M229" s="1469"/>
      <c r="N229" s="1729"/>
      <c r="P229" s="1597">
        <f t="shared" si="9"/>
        <v>1</v>
      </c>
      <c r="Q229" s="1597">
        <f t="shared" si="11"/>
        <v>1</v>
      </c>
      <c r="R229">
        <f t="shared" si="10"/>
        <v>0</v>
      </c>
    </row>
    <row r="230" spans="3:18" ht="20.100000000000001" customHeight="1">
      <c r="C230" s="34">
        <v>216</v>
      </c>
      <c r="D230" s="1782" t="str">
        <f>IF('3A.Occpcy&amp;Rent'!$D230="","",VLOOKUP($C230,'3A.Occpcy&amp;Rent'!$C$15:$L$414,2,FALSE))</f>
        <v/>
      </c>
      <c r="E230" s="1783" t="str">
        <f>IF('3A.Occpcy&amp;Rent'!$D230="","",VLOOKUP($C230,'3A.Occpcy&amp;Rent'!$C$15:$L$414,3,FALSE))</f>
        <v/>
      </c>
      <c r="F230" s="1784" t="str">
        <f>IF('3A.Occpcy&amp;Rent'!$D230="","",VLOOKUP($C230,'3A.Occpcy&amp;Rent'!$C$15:$L$414,10,FALSE))</f>
        <v/>
      </c>
      <c r="G230" s="1785" t="str">
        <f>IF('3A.Occpcy&amp;Rent'!$D230="","",VLOOKUP($C230,'3A.Occpcy&amp;Rent'!$C$15:$L$414,5,FALSE))</f>
        <v/>
      </c>
      <c r="H230" s="1727"/>
      <c r="I230" s="1727"/>
      <c r="J230" s="1727"/>
      <c r="K230" s="1727"/>
      <c r="L230" s="1727"/>
      <c r="M230" s="1469"/>
      <c r="N230" s="1729"/>
      <c r="P230" s="1597">
        <f t="shared" si="9"/>
        <v>1</v>
      </c>
      <c r="Q230" s="1597">
        <f t="shared" si="11"/>
        <v>1</v>
      </c>
      <c r="R230">
        <f t="shared" si="10"/>
        <v>0</v>
      </c>
    </row>
    <row r="231" spans="3:18" ht="20.100000000000001" customHeight="1">
      <c r="C231" s="34">
        <v>217</v>
      </c>
      <c r="D231" s="1782" t="str">
        <f>IF('3A.Occpcy&amp;Rent'!$D231="","",VLOOKUP($C231,'3A.Occpcy&amp;Rent'!$C$15:$L$414,2,FALSE))</f>
        <v/>
      </c>
      <c r="E231" s="1783" t="str">
        <f>IF('3A.Occpcy&amp;Rent'!$D231="","",VLOOKUP($C231,'3A.Occpcy&amp;Rent'!$C$15:$L$414,3,FALSE))</f>
        <v/>
      </c>
      <c r="F231" s="1784" t="str">
        <f>IF('3A.Occpcy&amp;Rent'!$D231="","",VLOOKUP($C231,'3A.Occpcy&amp;Rent'!$C$15:$L$414,10,FALSE))</f>
        <v/>
      </c>
      <c r="G231" s="1785" t="str">
        <f>IF('3A.Occpcy&amp;Rent'!$D231="","",VLOOKUP($C231,'3A.Occpcy&amp;Rent'!$C$15:$L$414,5,FALSE))</f>
        <v/>
      </c>
      <c r="H231" s="1727"/>
      <c r="I231" s="1727"/>
      <c r="J231" s="1727"/>
      <c r="K231" s="1727"/>
      <c r="L231" s="1727"/>
      <c r="M231" s="1469"/>
      <c r="N231" s="1729"/>
      <c r="P231" s="1597">
        <f t="shared" si="9"/>
        <v>1</v>
      </c>
      <c r="Q231" s="1597">
        <f t="shared" si="11"/>
        <v>1</v>
      </c>
      <c r="R231">
        <f t="shared" si="10"/>
        <v>0</v>
      </c>
    </row>
    <row r="232" spans="3:18" ht="20.100000000000001" customHeight="1">
      <c r="C232" s="34">
        <v>218</v>
      </c>
      <c r="D232" s="1782" t="str">
        <f>IF('3A.Occpcy&amp;Rent'!$D232="","",VLOOKUP($C232,'3A.Occpcy&amp;Rent'!$C$15:$L$414,2,FALSE))</f>
        <v/>
      </c>
      <c r="E232" s="1783" t="str">
        <f>IF('3A.Occpcy&amp;Rent'!$D232="","",VLOOKUP($C232,'3A.Occpcy&amp;Rent'!$C$15:$L$414,3,FALSE))</f>
        <v/>
      </c>
      <c r="F232" s="1784" t="str">
        <f>IF('3A.Occpcy&amp;Rent'!$D232="","",VLOOKUP($C232,'3A.Occpcy&amp;Rent'!$C$15:$L$414,10,FALSE))</f>
        <v/>
      </c>
      <c r="G232" s="1785" t="str">
        <f>IF('3A.Occpcy&amp;Rent'!$D232="","",VLOOKUP($C232,'3A.Occpcy&amp;Rent'!$C$15:$L$414,5,FALSE))</f>
        <v/>
      </c>
      <c r="H232" s="1727"/>
      <c r="I232" s="1727"/>
      <c r="J232" s="1727"/>
      <c r="K232" s="1727"/>
      <c r="L232" s="1727"/>
      <c r="M232" s="1469"/>
      <c r="N232" s="1729"/>
      <c r="P232" s="1597">
        <f t="shared" si="9"/>
        <v>1</v>
      </c>
      <c r="Q232" s="1597">
        <f t="shared" si="11"/>
        <v>1</v>
      </c>
      <c r="R232">
        <f t="shared" si="10"/>
        <v>0</v>
      </c>
    </row>
    <row r="233" spans="3:18" ht="20.100000000000001" customHeight="1">
      <c r="C233" s="34">
        <v>219</v>
      </c>
      <c r="D233" s="1782" t="str">
        <f>IF('3A.Occpcy&amp;Rent'!$D233="","",VLOOKUP($C233,'3A.Occpcy&amp;Rent'!$C$15:$L$414,2,FALSE))</f>
        <v/>
      </c>
      <c r="E233" s="1783" t="str">
        <f>IF('3A.Occpcy&amp;Rent'!$D233="","",VLOOKUP($C233,'3A.Occpcy&amp;Rent'!$C$15:$L$414,3,FALSE))</f>
        <v/>
      </c>
      <c r="F233" s="1784" t="str">
        <f>IF('3A.Occpcy&amp;Rent'!$D233="","",VLOOKUP($C233,'3A.Occpcy&amp;Rent'!$C$15:$L$414,10,FALSE))</f>
        <v/>
      </c>
      <c r="G233" s="1785" t="str">
        <f>IF('3A.Occpcy&amp;Rent'!$D233="","",VLOOKUP($C233,'3A.Occpcy&amp;Rent'!$C$15:$L$414,5,FALSE))</f>
        <v/>
      </c>
      <c r="H233" s="1727"/>
      <c r="I233" s="1727"/>
      <c r="J233" s="1727"/>
      <c r="K233" s="1727"/>
      <c r="L233" s="1727"/>
      <c r="M233" s="1469"/>
      <c r="N233" s="1729"/>
      <c r="P233" s="1597">
        <f t="shared" si="9"/>
        <v>1</v>
      </c>
      <c r="Q233" s="1597">
        <f t="shared" si="11"/>
        <v>1</v>
      </c>
      <c r="R233">
        <f t="shared" si="10"/>
        <v>0</v>
      </c>
    </row>
    <row r="234" spans="3:18" ht="20.100000000000001" customHeight="1">
      <c r="C234" s="34">
        <v>220</v>
      </c>
      <c r="D234" s="1782" t="str">
        <f>IF('3A.Occpcy&amp;Rent'!$D234="","",VLOOKUP($C234,'3A.Occpcy&amp;Rent'!$C$15:$L$414,2,FALSE))</f>
        <v/>
      </c>
      <c r="E234" s="1783" t="str">
        <f>IF('3A.Occpcy&amp;Rent'!$D234="","",VLOOKUP($C234,'3A.Occpcy&amp;Rent'!$C$15:$L$414,3,FALSE))</f>
        <v/>
      </c>
      <c r="F234" s="1784" t="str">
        <f>IF('3A.Occpcy&amp;Rent'!$D234="","",VLOOKUP($C234,'3A.Occpcy&amp;Rent'!$C$15:$L$414,10,FALSE))</f>
        <v/>
      </c>
      <c r="G234" s="1785" t="str">
        <f>IF('3A.Occpcy&amp;Rent'!$D234="","",VLOOKUP($C234,'3A.Occpcy&amp;Rent'!$C$15:$L$414,5,FALSE))</f>
        <v/>
      </c>
      <c r="H234" s="1727"/>
      <c r="I234" s="1727"/>
      <c r="J234" s="1727"/>
      <c r="K234" s="1727"/>
      <c r="L234" s="1727"/>
      <c r="M234" s="1469"/>
      <c r="N234" s="1729"/>
      <c r="P234" s="1597">
        <f t="shared" si="9"/>
        <v>1</v>
      </c>
      <c r="Q234" s="1597">
        <f t="shared" si="11"/>
        <v>1</v>
      </c>
      <c r="R234">
        <f t="shared" si="10"/>
        <v>0</v>
      </c>
    </row>
    <row r="235" spans="3:18" ht="20.100000000000001" customHeight="1">
      <c r="C235" s="34">
        <v>221</v>
      </c>
      <c r="D235" s="1782" t="str">
        <f>IF('3A.Occpcy&amp;Rent'!$D235="","",VLOOKUP($C235,'3A.Occpcy&amp;Rent'!$C$15:$L$414,2,FALSE))</f>
        <v/>
      </c>
      <c r="E235" s="1783" t="str">
        <f>IF('3A.Occpcy&amp;Rent'!$D235="","",VLOOKUP($C235,'3A.Occpcy&amp;Rent'!$C$15:$L$414,3,FALSE))</f>
        <v/>
      </c>
      <c r="F235" s="1784" t="str">
        <f>IF('3A.Occpcy&amp;Rent'!$D235="","",VLOOKUP($C235,'3A.Occpcy&amp;Rent'!$C$15:$L$414,10,FALSE))</f>
        <v/>
      </c>
      <c r="G235" s="1785" t="str">
        <f>IF('3A.Occpcy&amp;Rent'!$D235="","",VLOOKUP($C235,'3A.Occpcy&amp;Rent'!$C$15:$L$414,5,FALSE))</f>
        <v/>
      </c>
      <c r="H235" s="1727"/>
      <c r="I235" s="1727"/>
      <c r="J235" s="1727"/>
      <c r="K235" s="1727"/>
      <c r="L235" s="1727"/>
      <c r="M235" s="1469"/>
      <c r="N235" s="1729"/>
      <c r="P235" s="1597">
        <f t="shared" si="9"/>
        <v>1</v>
      </c>
      <c r="Q235" s="1597">
        <f t="shared" si="11"/>
        <v>1</v>
      </c>
      <c r="R235">
        <f t="shared" si="10"/>
        <v>0</v>
      </c>
    </row>
    <row r="236" spans="3:18" ht="20.100000000000001" customHeight="1">
      <c r="C236" s="34">
        <v>222</v>
      </c>
      <c r="D236" s="1782" t="str">
        <f>IF('3A.Occpcy&amp;Rent'!$D236="","",VLOOKUP($C236,'3A.Occpcy&amp;Rent'!$C$15:$L$414,2,FALSE))</f>
        <v/>
      </c>
      <c r="E236" s="1783" t="str">
        <f>IF('3A.Occpcy&amp;Rent'!$D236="","",VLOOKUP($C236,'3A.Occpcy&amp;Rent'!$C$15:$L$414,3,FALSE))</f>
        <v/>
      </c>
      <c r="F236" s="1784" t="str">
        <f>IF('3A.Occpcy&amp;Rent'!$D236="","",VLOOKUP($C236,'3A.Occpcy&amp;Rent'!$C$15:$L$414,10,FALSE))</f>
        <v/>
      </c>
      <c r="G236" s="1785" t="str">
        <f>IF('3A.Occpcy&amp;Rent'!$D236="","",VLOOKUP($C236,'3A.Occpcy&amp;Rent'!$C$15:$L$414,5,FALSE))</f>
        <v/>
      </c>
      <c r="H236" s="1727"/>
      <c r="I236" s="1727"/>
      <c r="J236" s="1727"/>
      <c r="K236" s="1727"/>
      <c r="L236" s="1727"/>
      <c r="M236" s="1469"/>
      <c r="N236" s="1729"/>
      <c r="P236" s="1597">
        <f t="shared" si="9"/>
        <v>1</v>
      </c>
      <c r="Q236" s="1597">
        <f t="shared" si="11"/>
        <v>1</v>
      </c>
      <c r="R236">
        <f t="shared" si="10"/>
        <v>0</v>
      </c>
    </row>
    <row r="237" spans="3:18" ht="20.100000000000001" customHeight="1">
      <c r="C237" s="34">
        <v>223</v>
      </c>
      <c r="D237" s="1782" t="str">
        <f>IF('3A.Occpcy&amp;Rent'!$D237="","",VLOOKUP($C237,'3A.Occpcy&amp;Rent'!$C$15:$L$414,2,FALSE))</f>
        <v/>
      </c>
      <c r="E237" s="1783" t="str">
        <f>IF('3A.Occpcy&amp;Rent'!$D237="","",VLOOKUP($C237,'3A.Occpcy&amp;Rent'!$C$15:$L$414,3,FALSE))</f>
        <v/>
      </c>
      <c r="F237" s="1784" t="str">
        <f>IF('3A.Occpcy&amp;Rent'!$D237="","",VLOOKUP($C237,'3A.Occpcy&amp;Rent'!$C$15:$L$414,10,FALSE))</f>
        <v/>
      </c>
      <c r="G237" s="1785" t="str">
        <f>IF('3A.Occpcy&amp;Rent'!$D237="","",VLOOKUP($C237,'3A.Occpcy&amp;Rent'!$C$15:$L$414,5,FALSE))</f>
        <v/>
      </c>
      <c r="H237" s="1727"/>
      <c r="I237" s="1727"/>
      <c r="J237" s="1727"/>
      <c r="K237" s="1727"/>
      <c r="L237" s="1727"/>
      <c r="M237" s="1469"/>
      <c r="N237" s="1729"/>
      <c r="P237" s="1597">
        <f t="shared" si="9"/>
        <v>1</v>
      </c>
      <c r="Q237" s="1597">
        <f t="shared" si="11"/>
        <v>1</v>
      </c>
      <c r="R237">
        <f t="shared" si="10"/>
        <v>0</v>
      </c>
    </row>
    <row r="238" spans="3:18" ht="20.100000000000001" customHeight="1">
      <c r="C238" s="34">
        <v>224</v>
      </c>
      <c r="D238" s="1782" t="str">
        <f>IF('3A.Occpcy&amp;Rent'!$D238="","",VLOOKUP($C238,'3A.Occpcy&amp;Rent'!$C$15:$L$414,2,FALSE))</f>
        <v/>
      </c>
      <c r="E238" s="1783" t="str">
        <f>IF('3A.Occpcy&amp;Rent'!$D238="","",VLOOKUP($C238,'3A.Occpcy&amp;Rent'!$C$15:$L$414,3,FALSE))</f>
        <v/>
      </c>
      <c r="F238" s="1784" t="str">
        <f>IF('3A.Occpcy&amp;Rent'!$D238="","",VLOOKUP($C238,'3A.Occpcy&amp;Rent'!$C$15:$L$414,10,FALSE))</f>
        <v/>
      </c>
      <c r="G238" s="1785" t="str">
        <f>IF('3A.Occpcy&amp;Rent'!$D238="","",VLOOKUP($C238,'3A.Occpcy&amp;Rent'!$C$15:$L$414,5,FALSE))</f>
        <v/>
      </c>
      <c r="H238" s="1727"/>
      <c r="I238" s="1727"/>
      <c r="J238" s="1727"/>
      <c r="K238" s="1727"/>
      <c r="L238" s="1727"/>
      <c r="M238" s="1469"/>
      <c r="N238" s="1729"/>
      <c r="P238" s="1597">
        <f t="shared" si="9"/>
        <v>1</v>
      </c>
      <c r="Q238" s="1597">
        <f t="shared" si="11"/>
        <v>1</v>
      </c>
      <c r="R238">
        <f t="shared" si="10"/>
        <v>0</v>
      </c>
    </row>
    <row r="239" spans="3:18" ht="20.100000000000001" customHeight="1">
      <c r="C239" s="34">
        <v>225</v>
      </c>
      <c r="D239" s="1782" t="str">
        <f>IF('3A.Occpcy&amp;Rent'!$D239="","",VLOOKUP($C239,'3A.Occpcy&amp;Rent'!$C$15:$L$414,2,FALSE))</f>
        <v/>
      </c>
      <c r="E239" s="1783" t="str">
        <f>IF('3A.Occpcy&amp;Rent'!$D239="","",VLOOKUP($C239,'3A.Occpcy&amp;Rent'!$C$15:$L$414,3,FALSE))</f>
        <v/>
      </c>
      <c r="F239" s="1784" t="str">
        <f>IF('3A.Occpcy&amp;Rent'!$D239="","",VLOOKUP($C239,'3A.Occpcy&amp;Rent'!$C$15:$L$414,10,FALSE))</f>
        <v/>
      </c>
      <c r="G239" s="1785" t="str">
        <f>IF('3A.Occpcy&amp;Rent'!$D239="","",VLOOKUP($C239,'3A.Occpcy&amp;Rent'!$C$15:$L$414,5,FALSE))</f>
        <v/>
      </c>
      <c r="H239" s="1727"/>
      <c r="I239" s="1727"/>
      <c r="J239" s="1727"/>
      <c r="K239" s="1727"/>
      <c r="L239" s="1727"/>
      <c r="M239" s="1469"/>
      <c r="N239" s="1729"/>
      <c r="P239" s="1597">
        <f t="shared" si="9"/>
        <v>1</v>
      </c>
      <c r="Q239" s="1597">
        <f t="shared" si="11"/>
        <v>1</v>
      </c>
      <c r="R239">
        <f t="shared" si="10"/>
        <v>0</v>
      </c>
    </row>
    <row r="240" spans="3:18" ht="20.100000000000001" customHeight="1">
      <c r="C240" s="34">
        <v>226</v>
      </c>
      <c r="D240" s="1782" t="str">
        <f>IF('3A.Occpcy&amp;Rent'!$D240="","",VLOOKUP($C240,'3A.Occpcy&amp;Rent'!$C$15:$L$414,2,FALSE))</f>
        <v/>
      </c>
      <c r="E240" s="1783" t="str">
        <f>IF('3A.Occpcy&amp;Rent'!$D240="","",VLOOKUP($C240,'3A.Occpcy&amp;Rent'!$C$15:$L$414,3,FALSE))</f>
        <v/>
      </c>
      <c r="F240" s="1784" t="str">
        <f>IF('3A.Occpcy&amp;Rent'!$D240="","",VLOOKUP($C240,'3A.Occpcy&amp;Rent'!$C$15:$L$414,10,FALSE))</f>
        <v/>
      </c>
      <c r="G240" s="1785" t="str">
        <f>IF('3A.Occpcy&amp;Rent'!$D240="","",VLOOKUP($C240,'3A.Occpcy&amp;Rent'!$C$15:$L$414,5,FALSE))</f>
        <v/>
      </c>
      <c r="H240" s="1727"/>
      <c r="I240" s="1727"/>
      <c r="J240" s="1727"/>
      <c r="K240" s="1727"/>
      <c r="L240" s="1727"/>
      <c r="M240" s="1469"/>
      <c r="N240" s="1729"/>
      <c r="P240" s="1597">
        <f t="shared" si="9"/>
        <v>1</v>
      </c>
      <c r="Q240" s="1597">
        <f t="shared" si="11"/>
        <v>1</v>
      </c>
      <c r="R240">
        <f t="shared" si="10"/>
        <v>0</v>
      </c>
    </row>
    <row r="241" spans="3:18" ht="20.100000000000001" customHeight="1">
      <c r="C241" s="34">
        <v>227</v>
      </c>
      <c r="D241" s="1782" t="str">
        <f>IF('3A.Occpcy&amp;Rent'!$D241="","",VLOOKUP($C241,'3A.Occpcy&amp;Rent'!$C$15:$L$414,2,FALSE))</f>
        <v/>
      </c>
      <c r="E241" s="1783" t="str">
        <f>IF('3A.Occpcy&amp;Rent'!$D241="","",VLOOKUP($C241,'3A.Occpcy&amp;Rent'!$C$15:$L$414,3,FALSE))</f>
        <v/>
      </c>
      <c r="F241" s="1784" t="str">
        <f>IF('3A.Occpcy&amp;Rent'!$D241="","",VLOOKUP($C241,'3A.Occpcy&amp;Rent'!$C$15:$L$414,10,FALSE))</f>
        <v/>
      </c>
      <c r="G241" s="1785" t="str">
        <f>IF('3A.Occpcy&amp;Rent'!$D241="","",VLOOKUP($C241,'3A.Occpcy&amp;Rent'!$C$15:$L$414,5,FALSE))</f>
        <v/>
      </c>
      <c r="H241" s="1727"/>
      <c r="I241" s="1727"/>
      <c r="J241" s="1727"/>
      <c r="K241" s="1727"/>
      <c r="L241" s="1727"/>
      <c r="M241" s="1469"/>
      <c r="N241" s="1729"/>
      <c r="P241" s="1597">
        <f t="shared" si="9"/>
        <v>1</v>
      </c>
      <c r="Q241" s="1597">
        <f t="shared" si="11"/>
        <v>1</v>
      </c>
      <c r="R241">
        <f t="shared" si="10"/>
        <v>0</v>
      </c>
    </row>
    <row r="242" spans="3:18" ht="20.100000000000001" customHeight="1">
      <c r="C242" s="34">
        <v>228</v>
      </c>
      <c r="D242" s="1782" t="str">
        <f>IF('3A.Occpcy&amp;Rent'!$D242="","",VLOOKUP($C242,'3A.Occpcy&amp;Rent'!$C$15:$L$414,2,FALSE))</f>
        <v/>
      </c>
      <c r="E242" s="1783" t="str">
        <f>IF('3A.Occpcy&amp;Rent'!$D242="","",VLOOKUP($C242,'3A.Occpcy&amp;Rent'!$C$15:$L$414,3,FALSE))</f>
        <v/>
      </c>
      <c r="F242" s="1784" t="str">
        <f>IF('3A.Occpcy&amp;Rent'!$D242="","",VLOOKUP($C242,'3A.Occpcy&amp;Rent'!$C$15:$L$414,10,FALSE))</f>
        <v/>
      </c>
      <c r="G242" s="1785" t="str">
        <f>IF('3A.Occpcy&amp;Rent'!$D242="","",VLOOKUP($C242,'3A.Occpcy&amp;Rent'!$C$15:$L$414,5,FALSE))</f>
        <v/>
      </c>
      <c r="H242" s="1727"/>
      <c r="I242" s="1727"/>
      <c r="J242" s="1727"/>
      <c r="K242" s="1727"/>
      <c r="L242" s="1727"/>
      <c r="M242" s="1469"/>
      <c r="N242" s="1729"/>
      <c r="P242" s="1597">
        <f t="shared" si="9"/>
        <v>1</v>
      </c>
      <c r="Q242" s="1597">
        <f t="shared" si="11"/>
        <v>1</v>
      </c>
      <c r="R242">
        <f t="shared" si="10"/>
        <v>0</v>
      </c>
    </row>
    <row r="243" spans="3:18" ht="20.100000000000001" customHeight="1">
      <c r="C243" s="34">
        <v>229</v>
      </c>
      <c r="D243" s="1782" t="str">
        <f>IF('3A.Occpcy&amp;Rent'!$D243="","",VLOOKUP($C243,'3A.Occpcy&amp;Rent'!$C$15:$L$414,2,FALSE))</f>
        <v/>
      </c>
      <c r="E243" s="1783" t="str">
        <f>IF('3A.Occpcy&amp;Rent'!$D243="","",VLOOKUP($C243,'3A.Occpcy&amp;Rent'!$C$15:$L$414,3,FALSE))</f>
        <v/>
      </c>
      <c r="F243" s="1784" t="str">
        <f>IF('3A.Occpcy&amp;Rent'!$D243="","",VLOOKUP($C243,'3A.Occpcy&amp;Rent'!$C$15:$L$414,10,FALSE))</f>
        <v/>
      </c>
      <c r="G243" s="1785" t="str">
        <f>IF('3A.Occpcy&amp;Rent'!$D243="","",VLOOKUP($C243,'3A.Occpcy&amp;Rent'!$C$15:$L$414,5,FALSE))</f>
        <v/>
      </c>
      <c r="H243" s="1727"/>
      <c r="I243" s="1727"/>
      <c r="J243" s="1727"/>
      <c r="K243" s="1727"/>
      <c r="L243" s="1727"/>
      <c r="M243" s="1469"/>
      <c r="N243" s="1729"/>
      <c r="P243" s="1597">
        <f t="shared" si="9"/>
        <v>1</v>
      </c>
      <c r="Q243" s="1597">
        <f t="shared" si="11"/>
        <v>1</v>
      </c>
      <c r="R243">
        <f t="shared" si="10"/>
        <v>0</v>
      </c>
    </row>
    <row r="244" spans="3:18" ht="20.100000000000001" customHeight="1">
      <c r="C244" s="34">
        <v>230</v>
      </c>
      <c r="D244" s="1782" t="str">
        <f>IF('3A.Occpcy&amp;Rent'!$D244="","",VLOOKUP($C244,'3A.Occpcy&amp;Rent'!$C$15:$L$414,2,FALSE))</f>
        <v/>
      </c>
      <c r="E244" s="1783" t="str">
        <f>IF('3A.Occpcy&amp;Rent'!$D244="","",VLOOKUP($C244,'3A.Occpcy&amp;Rent'!$C$15:$L$414,3,FALSE))</f>
        <v/>
      </c>
      <c r="F244" s="1784" t="str">
        <f>IF('3A.Occpcy&amp;Rent'!$D244="","",VLOOKUP($C244,'3A.Occpcy&amp;Rent'!$C$15:$L$414,10,FALSE))</f>
        <v/>
      </c>
      <c r="G244" s="1785" t="str">
        <f>IF('3A.Occpcy&amp;Rent'!$D244="","",VLOOKUP($C244,'3A.Occpcy&amp;Rent'!$C$15:$L$414,5,FALSE))</f>
        <v/>
      </c>
      <c r="H244" s="1727"/>
      <c r="I244" s="1727"/>
      <c r="J244" s="1727"/>
      <c r="K244" s="1727"/>
      <c r="L244" s="1727"/>
      <c r="M244" s="1469"/>
      <c r="N244" s="1729"/>
      <c r="P244" s="1597">
        <f t="shared" si="9"/>
        <v>1</v>
      </c>
      <c r="Q244" s="1597">
        <f t="shared" si="11"/>
        <v>1</v>
      </c>
      <c r="R244">
        <f t="shared" si="10"/>
        <v>0</v>
      </c>
    </row>
    <row r="245" spans="3:18" ht="20.100000000000001" customHeight="1">
      <c r="C245" s="34">
        <v>231</v>
      </c>
      <c r="D245" s="1782" t="str">
        <f>IF('3A.Occpcy&amp;Rent'!$D245="","",VLOOKUP($C245,'3A.Occpcy&amp;Rent'!$C$15:$L$414,2,FALSE))</f>
        <v/>
      </c>
      <c r="E245" s="1783" t="str">
        <f>IF('3A.Occpcy&amp;Rent'!$D245="","",VLOOKUP($C245,'3A.Occpcy&amp;Rent'!$C$15:$L$414,3,FALSE))</f>
        <v/>
      </c>
      <c r="F245" s="1784" t="str">
        <f>IF('3A.Occpcy&amp;Rent'!$D245="","",VLOOKUP($C245,'3A.Occpcy&amp;Rent'!$C$15:$L$414,10,FALSE))</f>
        <v/>
      </c>
      <c r="G245" s="1785" t="str">
        <f>IF('3A.Occpcy&amp;Rent'!$D245="","",VLOOKUP($C245,'3A.Occpcy&amp;Rent'!$C$15:$L$414,5,FALSE))</f>
        <v/>
      </c>
      <c r="H245" s="1727"/>
      <c r="I245" s="1727"/>
      <c r="J245" s="1727"/>
      <c r="K245" s="1727"/>
      <c r="L245" s="1727"/>
      <c r="M245" s="1469"/>
      <c r="N245" s="1729"/>
      <c r="P245" s="1597">
        <f t="shared" si="9"/>
        <v>1</v>
      </c>
      <c r="Q245" s="1597">
        <f t="shared" si="11"/>
        <v>1</v>
      </c>
      <c r="R245">
        <f t="shared" si="10"/>
        <v>0</v>
      </c>
    </row>
    <row r="246" spans="3:18" ht="20.100000000000001" customHeight="1">
      <c r="C246" s="34">
        <v>232</v>
      </c>
      <c r="D246" s="1782" t="str">
        <f>IF('3A.Occpcy&amp;Rent'!$D246="","",VLOOKUP($C246,'3A.Occpcy&amp;Rent'!$C$15:$L$414,2,FALSE))</f>
        <v/>
      </c>
      <c r="E246" s="1783" t="str">
        <f>IF('3A.Occpcy&amp;Rent'!$D246="","",VLOOKUP($C246,'3A.Occpcy&amp;Rent'!$C$15:$L$414,3,FALSE))</f>
        <v/>
      </c>
      <c r="F246" s="1784" t="str">
        <f>IF('3A.Occpcy&amp;Rent'!$D246="","",VLOOKUP($C246,'3A.Occpcy&amp;Rent'!$C$15:$L$414,10,FALSE))</f>
        <v/>
      </c>
      <c r="G246" s="1785" t="str">
        <f>IF('3A.Occpcy&amp;Rent'!$D246="","",VLOOKUP($C246,'3A.Occpcy&amp;Rent'!$C$15:$L$414,5,FALSE))</f>
        <v/>
      </c>
      <c r="H246" s="1727"/>
      <c r="I246" s="1727"/>
      <c r="J246" s="1727"/>
      <c r="K246" s="1727"/>
      <c r="L246" s="1727"/>
      <c r="M246" s="1469"/>
      <c r="N246" s="1729"/>
      <c r="P246" s="1597">
        <f t="shared" si="9"/>
        <v>1</v>
      </c>
      <c r="Q246" s="1597">
        <f t="shared" si="11"/>
        <v>1</v>
      </c>
      <c r="R246">
        <f t="shared" si="10"/>
        <v>0</v>
      </c>
    </row>
    <row r="247" spans="3:18" ht="20.100000000000001" customHeight="1">
      <c r="C247" s="34">
        <v>233</v>
      </c>
      <c r="D247" s="1782" t="str">
        <f>IF('3A.Occpcy&amp;Rent'!$D247="","",VLOOKUP($C247,'3A.Occpcy&amp;Rent'!$C$15:$L$414,2,FALSE))</f>
        <v/>
      </c>
      <c r="E247" s="1783" t="str">
        <f>IF('3A.Occpcy&amp;Rent'!$D247="","",VLOOKUP($C247,'3A.Occpcy&amp;Rent'!$C$15:$L$414,3,FALSE))</f>
        <v/>
      </c>
      <c r="F247" s="1784" t="str">
        <f>IF('3A.Occpcy&amp;Rent'!$D247="","",VLOOKUP($C247,'3A.Occpcy&amp;Rent'!$C$15:$L$414,10,FALSE))</f>
        <v/>
      </c>
      <c r="G247" s="1785" t="str">
        <f>IF('3A.Occpcy&amp;Rent'!$D247="","",VLOOKUP($C247,'3A.Occpcy&amp;Rent'!$C$15:$L$414,5,FALSE))</f>
        <v/>
      </c>
      <c r="H247" s="1727"/>
      <c r="I247" s="1727"/>
      <c r="J247" s="1727"/>
      <c r="K247" s="1727"/>
      <c r="L247" s="1727"/>
      <c r="M247" s="1469"/>
      <c r="N247" s="1729"/>
      <c r="P247" s="1597">
        <f t="shared" si="9"/>
        <v>1</v>
      </c>
      <c r="Q247" s="1597">
        <f t="shared" si="11"/>
        <v>1</v>
      </c>
      <c r="R247">
        <f t="shared" si="10"/>
        <v>0</v>
      </c>
    </row>
    <row r="248" spans="3:18" ht="20.100000000000001" customHeight="1">
      <c r="C248" s="34">
        <v>234</v>
      </c>
      <c r="D248" s="1782" t="str">
        <f>IF('3A.Occpcy&amp;Rent'!$D248="","",VLOOKUP($C248,'3A.Occpcy&amp;Rent'!$C$15:$L$414,2,FALSE))</f>
        <v/>
      </c>
      <c r="E248" s="1783" t="str">
        <f>IF('3A.Occpcy&amp;Rent'!$D248="","",VLOOKUP($C248,'3A.Occpcy&amp;Rent'!$C$15:$L$414,3,FALSE))</f>
        <v/>
      </c>
      <c r="F248" s="1784" t="str">
        <f>IF('3A.Occpcy&amp;Rent'!$D248="","",VLOOKUP($C248,'3A.Occpcy&amp;Rent'!$C$15:$L$414,10,FALSE))</f>
        <v/>
      </c>
      <c r="G248" s="1785" t="str">
        <f>IF('3A.Occpcy&amp;Rent'!$D248="","",VLOOKUP($C248,'3A.Occpcy&amp;Rent'!$C$15:$L$414,5,FALSE))</f>
        <v/>
      </c>
      <c r="H248" s="1727"/>
      <c r="I248" s="1727"/>
      <c r="J248" s="1727"/>
      <c r="K248" s="1727"/>
      <c r="L248" s="1727"/>
      <c r="M248" s="1469"/>
      <c r="N248" s="1729"/>
      <c r="P248" s="1597">
        <f t="shared" si="9"/>
        <v>1</v>
      </c>
      <c r="Q248" s="1597">
        <f t="shared" si="11"/>
        <v>1</v>
      </c>
      <c r="R248">
        <f t="shared" si="10"/>
        <v>0</v>
      </c>
    </row>
    <row r="249" spans="3:18" ht="20.100000000000001" customHeight="1">
      <c r="C249" s="34">
        <v>235</v>
      </c>
      <c r="D249" s="1782" t="str">
        <f>IF('3A.Occpcy&amp;Rent'!$D249="","",VLOOKUP($C249,'3A.Occpcy&amp;Rent'!$C$15:$L$414,2,FALSE))</f>
        <v/>
      </c>
      <c r="E249" s="1783" t="str">
        <f>IF('3A.Occpcy&amp;Rent'!$D249="","",VLOOKUP($C249,'3A.Occpcy&amp;Rent'!$C$15:$L$414,3,FALSE))</f>
        <v/>
      </c>
      <c r="F249" s="1784" t="str">
        <f>IF('3A.Occpcy&amp;Rent'!$D249="","",VLOOKUP($C249,'3A.Occpcy&amp;Rent'!$C$15:$L$414,10,FALSE))</f>
        <v/>
      </c>
      <c r="G249" s="1785" t="str">
        <f>IF('3A.Occpcy&amp;Rent'!$D249="","",VLOOKUP($C249,'3A.Occpcy&amp;Rent'!$C$15:$L$414,5,FALSE))</f>
        <v/>
      </c>
      <c r="H249" s="1727"/>
      <c r="I249" s="1727"/>
      <c r="J249" s="1727"/>
      <c r="K249" s="1727"/>
      <c r="L249" s="1727"/>
      <c r="M249" s="1469"/>
      <c r="N249" s="1729"/>
      <c r="P249" s="1597">
        <f t="shared" si="9"/>
        <v>1</v>
      </c>
      <c r="Q249" s="1597">
        <f t="shared" si="11"/>
        <v>1</v>
      </c>
      <c r="R249">
        <f t="shared" si="10"/>
        <v>0</v>
      </c>
    </row>
    <row r="250" spans="3:18" ht="20.100000000000001" customHeight="1">
      <c r="C250" s="34">
        <v>236</v>
      </c>
      <c r="D250" s="1782" t="str">
        <f>IF('3A.Occpcy&amp;Rent'!$D250="","",VLOOKUP($C250,'3A.Occpcy&amp;Rent'!$C$15:$L$414,2,FALSE))</f>
        <v/>
      </c>
      <c r="E250" s="1783" t="str">
        <f>IF('3A.Occpcy&amp;Rent'!$D250="","",VLOOKUP($C250,'3A.Occpcy&amp;Rent'!$C$15:$L$414,3,FALSE))</f>
        <v/>
      </c>
      <c r="F250" s="1784" t="str">
        <f>IF('3A.Occpcy&amp;Rent'!$D250="","",VLOOKUP($C250,'3A.Occpcy&amp;Rent'!$C$15:$L$414,10,FALSE))</f>
        <v/>
      </c>
      <c r="G250" s="1785" t="str">
        <f>IF('3A.Occpcy&amp;Rent'!$D250="","",VLOOKUP($C250,'3A.Occpcy&amp;Rent'!$C$15:$L$414,5,FALSE))</f>
        <v/>
      </c>
      <c r="H250" s="1727"/>
      <c r="I250" s="1727"/>
      <c r="J250" s="1727"/>
      <c r="K250" s="1727"/>
      <c r="L250" s="1727"/>
      <c r="M250" s="1469"/>
      <c r="N250" s="1729"/>
      <c r="P250" s="1597">
        <f t="shared" si="9"/>
        <v>1</v>
      </c>
      <c r="Q250" s="1597">
        <f t="shared" si="11"/>
        <v>1</v>
      </c>
      <c r="R250">
        <f t="shared" si="10"/>
        <v>0</v>
      </c>
    </row>
    <row r="251" spans="3:18" ht="20.100000000000001" customHeight="1">
      <c r="C251" s="34">
        <v>237</v>
      </c>
      <c r="D251" s="1782" t="str">
        <f>IF('3A.Occpcy&amp;Rent'!$D251="","",VLOOKUP($C251,'3A.Occpcy&amp;Rent'!$C$15:$L$414,2,FALSE))</f>
        <v/>
      </c>
      <c r="E251" s="1783" t="str">
        <f>IF('3A.Occpcy&amp;Rent'!$D251="","",VLOOKUP($C251,'3A.Occpcy&amp;Rent'!$C$15:$L$414,3,FALSE))</f>
        <v/>
      </c>
      <c r="F251" s="1784" t="str">
        <f>IF('3A.Occpcy&amp;Rent'!$D251="","",VLOOKUP($C251,'3A.Occpcy&amp;Rent'!$C$15:$L$414,10,FALSE))</f>
        <v/>
      </c>
      <c r="G251" s="1785" t="str">
        <f>IF('3A.Occpcy&amp;Rent'!$D251="","",VLOOKUP($C251,'3A.Occpcy&amp;Rent'!$C$15:$L$414,5,FALSE))</f>
        <v/>
      </c>
      <c r="H251" s="1727"/>
      <c r="I251" s="1727"/>
      <c r="J251" s="1727"/>
      <c r="K251" s="1727"/>
      <c r="L251" s="1727"/>
      <c r="M251" s="1469"/>
      <c r="N251" s="1729"/>
      <c r="P251" s="1597">
        <f t="shared" si="9"/>
        <v>1</v>
      </c>
      <c r="Q251" s="1597">
        <f t="shared" si="11"/>
        <v>1</v>
      </c>
      <c r="R251">
        <f t="shared" si="10"/>
        <v>0</v>
      </c>
    </row>
    <row r="252" spans="3:18" ht="20.100000000000001" customHeight="1">
      <c r="C252" s="34">
        <v>238</v>
      </c>
      <c r="D252" s="1782" t="str">
        <f>IF('3A.Occpcy&amp;Rent'!$D252="","",VLOOKUP($C252,'3A.Occpcy&amp;Rent'!$C$15:$L$414,2,FALSE))</f>
        <v/>
      </c>
      <c r="E252" s="1783" t="str">
        <f>IF('3A.Occpcy&amp;Rent'!$D252="","",VLOOKUP($C252,'3A.Occpcy&amp;Rent'!$C$15:$L$414,3,FALSE))</f>
        <v/>
      </c>
      <c r="F252" s="1784" t="str">
        <f>IF('3A.Occpcy&amp;Rent'!$D252="","",VLOOKUP($C252,'3A.Occpcy&amp;Rent'!$C$15:$L$414,10,FALSE))</f>
        <v/>
      </c>
      <c r="G252" s="1785" t="str">
        <f>IF('3A.Occpcy&amp;Rent'!$D252="","",VLOOKUP($C252,'3A.Occpcy&amp;Rent'!$C$15:$L$414,5,FALSE))</f>
        <v/>
      </c>
      <c r="H252" s="1727"/>
      <c r="I252" s="1727"/>
      <c r="J252" s="1727"/>
      <c r="K252" s="1727"/>
      <c r="L252" s="1727"/>
      <c r="M252" s="1469"/>
      <c r="N252" s="1729"/>
      <c r="P252" s="1597">
        <f t="shared" si="9"/>
        <v>1</v>
      </c>
      <c r="Q252" s="1597">
        <f t="shared" si="11"/>
        <v>1</v>
      </c>
      <c r="R252">
        <f t="shared" si="10"/>
        <v>0</v>
      </c>
    </row>
    <row r="253" spans="3:18" ht="20.100000000000001" customHeight="1">
      <c r="C253" s="34">
        <v>239</v>
      </c>
      <c r="D253" s="1782" t="str">
        <f>IF('3A.Occpcy&amp;Rent'!$D253="","",VLOOKUP($C253,'3A.Occpcy&amp;Rent'!$C$15:$L$414,2,FALSE))</f>
        <v/>
      </c>
      <c r="E253" s="1783" t="str">
        <f>IF('3A.Occpcy&amp;Rent'!$D253="","",VLOOKUP($C253,'3A.Occpcy&amp;Rent'!$C$15:$L$414,3,FALSE))</f>
        <v/>
      </c>
      <c r="F253" s="1784" t="str">
        <f>IF('3A.Occpcy&amp;Rent'!$D253="","",VLOOKUP($C253,'3A.Occpcy&amp;Rent'!$C$15:$L$414,10,FALSE))</f>
        <v/>
      </c>
      <c r="G253" s="1785" t="str">
        <f>IF('3A.Occpcy&amp;Rent'!$D253="","",VLOOKUP($C253,'3A.Occpcy&amp;Rent'!$C$15:$L$414,5,FALSE))</f>
        <v/>
      </c>
      <c r="H253" s="1727"/>
      <c r="I253" s="1727"/>
      <c r="J253" s="1727"/>
      <c r="K253" s="1727"/>
      <c r="L253" s="1727"/>
      <c r="M253" s="1469"/>
      <c r="N253" s="1729"/>
      <c r="P253" s="1597">
        <f t="shared" si="9"/>
        <v>1</v>
      </c>
      <c r="Q253" s="1597">
        <f t="shared" si="11"/>
        <v>1</v>
      </c>
      <c r="R253">
        <f t="shared" si="10"/>
        <v>0</v>
      </c>
    </row>
    <row r="254" spans="3:18" ht="20.100000000000001" customHeight="1">
      <c r="C254" s="34">
        <v>240</v>
      </c>
      <c r="D254" s="1782" t="str">
        <f>IF('3A.Occpcy&amp;Rent'!$D254="","",VLOOKUP($C254,'3A.Occpcy&amp;Rent'!$C$15:$L$414,2,FALSE))</f>
        <v/>
      </c>
      <c r="E254" s="1783" t="str">
        <f>IF('3A.Occpcy&amp;Rent'!$D254="","",VLOOKUP($C254,'3A.Occpcy&amp;Rent'!$C$15:$L$414,3,FALSE))</f>
        <v/>
      </c>
      <c r="F254" s="1784" t="str">
        <f>IF('3A.Occpcy&amp;Rent'!$D254="","",VLOOKUP($C254,'3A.Occpcy&amp;Rent'!$C$15:$L$414,10,FALSE))</f>
        <v/>
      </c>
      <c r="G254" s="1785" t="str">
        <f>IF('3A.Occpcy&amp;Rent'!$D254="","",VLOOKUP($C254,'3A.Occpcy&amp;Rent'!$C$15:$L$414,5,FALSE))</f>
        <v/>
      </c>
      <c r="H254" s="1727"/>
      <c r="I254" s="1727"/>
      <c r="J254" s="1727"/>
      <c r="K254" s="1727"/>
      <c r="L254" s="1727"/>
      <c r="M254" s="1469"/>
      <c r="N254" s="1729"/>
      <c r="P254" s="1597">
        <f t="shared" si="9"/>
        <v>1</v>
      </c>
      <c r="Q254" s="1597">
        <f t="shared" si="11"/>
        <v>1</v>
      </c>
      <c r="R254">
        <f t="shared" si="10"/>
        <v>0</v>
      </c>
    </row>
    <row r="255" spans="3:18" ht="20.100000000000001" customHeight="1">
      <c r="C255" s="34">
        <v>241</v>
      </c>
      <c r="D255" s="1782" t="str">
        <f>IF('3A.Occpcy&amp;Rent'!$D255="","",VLOOKUP($C255,'3A.Occpcy&amp;Rent'!$C$15:$L$414,2,FALSE))</f>
        <v/>
      </c>
      <c r="E255" s="1783" t="str">
        <f>IF('3A.Occpcy&amp;Rent'!$D255="","",VLOOKUP($C255,'3A.Occpcy&amp;Rent'!$C$15:$L$414,3,FALSE))</f>
        <v/>
      </c>
      <c r="F255" s="1784" t="str">
        <f>IF('3A.Occpcy&amp;Rent'!$D255="","",VLOOKUP($C255,'3A.Occpcy&amp;Rent'!$C$15:$L$414,10,FALSE))</f>
        <v/>
      </c>
      <c r="G255" s="1785" t="str">
        <f>IF('3A.Occpcy&amp;Rent'!$D255="","",VLOOKUP($C255,'3A.Occpcy&amp;Rent'!$C$15:$L$414,5,FALSE))</f>
        <v/>
      </c>
      <c r="H255" s="1727"/>
      <c r="I255" s="1727"/>
      <c r="J255" s="1727"/>
      <c r="K255" s="1727"/>
      <c r="L255" s="1727"/>
      <c r="M255" s="1469"/>
      <c r="N255" s="1729"/>
      <c r="P255" s="1597">
        <f t="shared" si="9"/>
        <v>1</v>
      </c>
      <c r="Q255" s="1597">
        <f t="shared" si="11"/>
        <v>1</v>
      </c>
      <c r="R255">
        <f t="shared" si="10"/>
        <v>0</v>
      </c>
    </row>
    <row r="256" spans="3:18" ht="20.100000000000001" customHeight="1">
      <c r="C256" s="34">
        <v>242</v>
      </c>
      <c r="D256" s="1782" t="str">
        <f>IF('3A.Occpcy&amp;Rent'!$D256="","",VLOOKUP($C256,'3A.Occpcy&amp;Rent'!$C$15:$L$414,2,FALSE))</f>
        <v/>
      </c>
      <c r="E256" s="1783" t="str">
        <f>IF('3A.Occpcy&amp;Rent'!$D256="","",VLOOKUP($C256,'3A.Occpcy&amp;Rent'!$C$15:$L$414,3,FALSE))</f>
        <v/>
      </c>
      <c r="F256" s="1784" t="str">
        <f>IF('3A.Occpcy&amp;Rent'!$D256="","",VLOOKUP($C256,'3A.Occpcy&amp;Rent'!$C$15:$L$414,10,FALSE))</f>
        <v/>
      </c>
      <c r="G256" s="1785" t="str">
        <f>IF('3A.Occpcy&amp;Rent'!$D256="","",VLOOKUP($C256,'3A.Occpcy&amp;Rent'!$C$15:$L$414,5,FALSE))</f>
        <v/>
      </c>
      <c r="H256" s="1727"/>
      <c r="I256" s="1727"/>
      <c r="J256" s="1727"/>
      <c r="K256" s="1727"/>
      <c r="L256" s="1727"/>
      <c r="M256" s="1469"/>
      <c r="N256" s="1729"/>
      <c r="P256" s="1597">
        <f t="shared" si="9"/>
        <v>1</v>
      </c>
      <c r="Q256" s="1597">
        <f t="shared" si="11"/>
        <v>1</v>
      </c>
      <c r="R256">
        <f t="shared" si="10"/>
        <v>0</v>
      </c>
    </row>
    <row r="257" spans="3:18" ht="20.100000000000001" customHeight="1">
      <c r="C257" s="34">
        <v>243</v>
      </c>
      <c r="D257" s="1782" t="str">
        <f>IF('3A.Occpcy&amp;Rent'!$D257="","",VLOOKUP($C257,'3A.Occpcy&amp;Rent'!$C$15:$L$414,2,FALSE))</f>
        <v/>
      </c>
      <c r="E257" s="1783" t="str">
        <f>IF('3A.Occpcy&amp;Rent'!$D257="","",VLOOKUP($C257,'3A.Occpcy&amp;Rent'!$C$15:$L$414,3,FALSE))</f>
        <v/>
      </c>
      <c r="F257" s="1784" t="str">
        <f>IF('3A.Occpcy&amp;Rent'!$D257="","",VLOOKUP($C257,'3A.Occpcy&amp;Rent'!$C$15:$L$414,10,FALSE))</f>
        <v/>
      </c>
      <c r="G257" s="1785" t="str">
        <f>IF('3A.Occpcy&amp;Rent'!$D257="","",VLOOKUP($C257,'3A.Occpcy&amp;Rent'!$C$15:$L$414,5,FALSE))</f>
        <v/>
      </c>
      <c r="H257" s="1727"/>
      <c r="I257" s="1727"/>
      <c r="J257" s="1727"/>
      <c r="K257" s="1727"/>
      <c r="L257" s="1727"/>
      <c r="M257" s="1469"/>
      <c r="N257" s="1729"/>
      <c r="P257" s="1597">
        <f t="shared" si="9"/>
        <v>1</v>
      </c>
      <c r="Q257" s="1597">
        <f t="shared" si="11"/>
        <v>1</v>
      </c>
      <c r="R257">
        <f t="shared" si="10"/>
        <v>0</v>
      </c>
    </row>
    <row r="258" spans="3:18" ht="20.100000000000001" customHeight="1">
      <c r="C258" s="34">
        <v>244</v>
      </c>
      <c r="D258" s="1782" t="str">
        <f>IF('3A.Occpcy&amp;Rent'!$D258="","",VLOOKUP($C258,'3A.Occpcy&amp;Rent'!$C$15:$L$414,2,FALSE))</f>
        <v/>
      </c>
      <c r="E258" s="1783" t="str">
        <f>IF('3A.Occpcy&amp;Rent'!$D258="","",VLOOKUP($C258,'3A.Occpcy&amp;Rent'!$C$15:$L$414,3,FALSE))</f>
        <v/>
      </c>
      <c r="F258" s="1784" t="str">
        <f>IF('3A.Occpcy&amp;Rent'!$D258="","",VLOOKUP($C258,'3A.Occpcy&amp;Rent'!$C$15:$L$414,10,FALSE))</f>
        <v/>
      </c>
      <c r="G258" s="1785" t="str">
        <f>IF('3A.Occpcy&amp;Rent'!$D258="","",VLOOKUP($C258,'3A.Occpcy&amp;Rent'!$C$15:$L$414,5,FALSE))</f>
        <v/>
      </c>
      <c r="H258" s="1727"/>
      <c r="I258" s="1727"/>
      <c r="J258" s="1727"/>
      <c r="K258" s="1727"/>
      <c r="L258" s="1727"/>
      <c r="M258" s="1469"/>
      <c r="N258" s="1729"/>
      <c r="P258" s="1597">
        <f t="shared" si="9"/>
        <v>1</v>
      </c>
      <c r="Q258" s="1597">
        <f t="shared" si="11"/>
        <v>1</v>
      </c>
      <c r="R258">
        <f t="shared" si="10"/>
        <v>0</v>
      </c>
    </row>
    <row r="259" spans="3:18" ht="20.100000000000001" customHeight="1">
      <c r="C259" s="34">
        <v>245</v>
      </c>
      <c r="D259" s="1782" t="str">
        <f>IF('3A.Occpcy&amp;Rent'!$D259="","",VLOOKUP($C259,'3A.Occpcy&amp;Rent'!$C$15:$L$414,2,FALSE))</f>
        <v/>
      </c>
      <c r="E259" s="1783" t="str">
        <f>IF('3A.Occpcy&amp;Rent'!$D259="","",VLOOKUP($C259,'3A.Occpcy&amp;Rent'!$C$15:$L$414,3,FALSE))</f>
        <v/>
      </c>
      <c r="F259" s="1784" t="str">
        <f>IF('3A.Occpcy&amp;Rent'!$D259="","",VLOOKUP($C259,'3A.Occpcy&amp;Rent'!$C$15:$L$414,10,FALSE))</f>
        <v/>
      </c>
      <c r="G259" s="1785" t="str">
        <f>IF('3A.Occpcy&amp;Rent'!$D259="","",VLOOKUP($C259,'3A.Occpcy&amp;Rent'!$C$15:$L$414,5,FALSE))</f>
        <v/>
      </c>
      <c r="H259" s="1727"/>
      <c r="I259" s="1727"/>
      <c r="J259" s="1727"/>
      <c r="K259" s="1727"/>
      <c r="L259" s="1727"/>
      <c r="M259" s="1469"/>
      <c r="N259" s="1729"/>
      <c r="P259" s="1597">
        <f t="shared" si="9"/>
        <v>1</v>
      </c>
      <c r="Q259" s="1597">
        <f t="shared" si="11"/>
        <v>1</v>
      </c>
      <c r="R259">
        <f t="shared" si="10"/>
        <v>0</v>
      </c>
    </row>
    <row r="260" spans="3:18" ht="20.100000000000001" customHeight="1">
      <c r="C260" s="34">
        <v>246</v>
      </c>
      <c r="D260" s="1782" t="str">
        <f>IF('3A.Occpcy&amp;Rent'!$D260="","",VLOOKUP($C260,'3A.Occpcy&amp;Rent'!$C$15:$L$414,2,FALSE))</f>
        <v/>
      </c>
      <c r="E260" s="1783" t="str">
        <f>IF('3A.Occpcy&amp;Rent'!$D260="","",VLOOKUP($C260,'3A.Occpcy&amp;Rent'!$C$15:$L$414,3,FALSE))</f>
        <v/>
      </c>
      <c r="F260" s="1784" t="str">
        <f>IF('3A.Occpcy&amp;Rent'!$D260="","",VLOOKUP($C260,'3A.Occpcy&amp;Rent'!$C$15:$L$414,10,FALSE))</f>
        <v/>
      </c>
      <c r="G260" s="1785" t="str">
        <f>IF('3A.Occpcy&amp;Rent'!$D260="","",VLOOKUP($C260,'3A.Occpcy&amp;Rent'!$C$15:$L$414,5,FALSE))</f>
        <v/>
      </c>
      <c r="H260" s="1727"/>
      <c r="I260" s="1727"/>
      <c r="J260" s="1727"/>
      <c r="K260" s="1727"/>
      <c r="L260" s="1727"/>
      <c r="M260" s="1469"/>
      <c r="N260" s="1729"/>
      <c r="P260" s="1597">
        <f t="shared" si="9"/>
        <v>1</v>
      </c>
      <c r="Q260" s="1597">
        <f t="shared" si="11"/>
        <v>1</v>
      </c>
      <c r="R260">
        <f t="shared" si="10"/>
        <v>0</v>
      </c>
    </row>
    <row r="261" spans="3:18" ht="20.100000000000001" customHeight="1">
      <c r="C261" s="34">
        <v>247</v>
      </c>
      <c r="D261" s="1782" t="str">
        <f>IF('3A.Occpcy&amp;Rent'!$D261="","",VLOOKUP($C261,'3A.Occpcy&amp;Rent'!$C$15:$L$414,2,FALSE))</f>
        <v/>
      </c>
      <c r="E261" s="1783" t="str">
        <f>IF('3A.Occpcy&amp;Rent'!$D261="","",VLOOKUP($C261,'3A.Occpcy&amp;Rent'!$C$15:$L$414,3,FALSE))</f>
        <v/>
      </c>
      <c r="F261" s="1784" t="str">
        <f>IF('3A.Occpcy&amp;Rent'!$D261="","",VLOOKUP($C261,'3A.Occpcy&amp;Rent'!$C$15:$L$414,10,FALSE))</f>
        <v/>
      </c>
      <c r="G261" s="1785" t="str">
        <f>IF('3A.Occpcy&amp;Rent'!$D261="","",VLOOKUP($C261,'3A.Occpcy&amp;Rent'!$C$15:$L$414,5,FALSE))</f>
        <v/>
      </c>
      <c r="H261" s="1727"/>
      <c r="I261" s="1727"/>
      <c r="J261" s="1727"/>
      <c r="K261" s="1727"/>
      <c r="L261" s="1727"/>
      <c r="M261" s="1469"/>
      <c r="N261" s="1729"/>
      <c r="P261" s="1597">
        <f t="shared" si="9"/>
        <v>1</v>
      </c>
      <c r="Q261" s="1597">
        <f t="shared" si="11"/>
        <v>1</v>
      </c>
      <c r="R261">
        <f t="shared" si="10"/>
        <v>0</v>
      </c>
    </row>
    <row r="262" spans="3:18" ht="20.100000000000001" customHeight="1">
      <c r="C262" s="34">
        <v>248</v>
      </c>
      <c r="D262" s="1782" t="str">
        <f>IF('3A.Occpcy&amp;Rent'!$D262="","",VLOOKUP($C262,'3A.Occpcy&amp;Rent'!$C$15:$L$414,2,FALSE))</f>
        <v/>
      </c>
      <c r="E262" s="1783" t="str">
        <f>IF('3A.Occpcy&amp;Rent'!$D262="","",VLOOKUP($C262,'3A.Occpcy&amp;Rent'!$C$15:$L$414,3,FALSE))</f>
        <v/>
      </c>
      <c r="F262" s="1784" t="str">
        <f>IF('3A.Occpcy&amp;Rent'!$D262="","",VLOOKUP($C262,'3A.Occpcy&amp;Rent'!$C$15:$L$414,10,FALSE))</f>
        <v/>
      </c>
      <c r="G262" s="1785" t="str">
        <f>IF('3A.Occpcy&amp;Rent'!$D262="","",VLOOKUP($C262,'3A.Occpcy&amp;Rent'!$C$15:$L$414,5,FALSE))</f>
        <v/>
      </c>
      <c r="H262" s="1727"/>
      <c r="I262" s="1727"/>
      <c r="J262" s="1727"/>
      <c r="K262" s="1727"/>
      <c r="L262" s="1727"/>
      <c r="M262" s="1469"/>
      <c r="N262" s="1729"/>
      <c r="P262" s="1597">
        <f t="shared" si="9"/>
        <v>1</v>
      </c>
      <c r="Q262" s="1597">
        <f t="shared" si="11"/>
        <v>1</v>
      </c>
      <c r="R262">
        <f t="shared" si="10"/>
        <v>0</v>
      </c>
    </row>
    <row r="263" spans="3:18" ht="20.100000000000001" customHeight="1">
      <c r="C263" s="34">
        <v>249</v>
      </c>
      <c r="D263" s="1782" t="str">
        <f>IF('3A.Occpcy&amp;Rent'!$D263="","",VLOOKUP($C263,'3A.Occpcy&amp;Rent'!$C$15:$L$414,2,FALSE))</f>
        <v/>
      </c>
      <c r="E263" s="1783" t="str">
        <f>IF('3A.Occpcy&amp;Rent'!$D263="","",VLOOKUP($C263,'3A.Occpcy&amp;Rent'!$C$15:$L$414,3,FALSE))</f>
        <v/>
      </c>
      <c r="F263" s="1784" t="str">
        <f>IF('3A.Occpcy&amp;Rent'!$D263="","",VLOOKUP($C263,'3A.Occpcy&amp;Rent'!$C$15:$L$414,10,FALSE))</f>
        <v/>
      </c>
      <c r="G263" s="1785" t="str">
        <f>IF('3A.Occpcy&amp;Rent'!$D263="","",VLOOKUP($C263,'3A.Occpcy&amp;Rent'!$C$15:$L$414,5,FALSE))</f>
        <v/>
      </c>
      <c r="H263" s="1727"/>
      <c r="I263" s="1727"/>
      <c r="J263" s="1727"/>
      <c r="K263" s="1727"/>
      <c r="L263" s="1727"/>
      <c r="M263" s="1469"/>
      <c r="N263" s="1729"/>
      <c r="P263" s="1597">
        <f t="shared" si="9"/>
        <v>1</v>
      </c>
      <c r="Q263" s="1597">
        <f t="shared" si="11"/>
        <v>1</v>
      </c>
      <c r="R263">
        <f t="shared" si="10"/>
        <v>0</v>
      </c>
    </row>
    <row r="264" spans="3:18" ht="20.100000000000001" customHeight="1">
      <c r="C264" s="34">
        <v>250</v>
      </c>
      <c r="D264" s="1782" t="str">
        <f>IF('3A.Occpcy&amp;Rent'!$D264="","",VLOOKUP($C264,'3A.Occpcy&amp;Rent'!$C$15:$L$414,2,FALSE))</f>
        <v/>
      </c>
      <c r="E264" s="1783" t="str">
        <f>IF('3A.Occpcy&amp;Rent'!$D264="","",VLOOKUP($C264,'3A.Occpcy&amp;Rent'!$C$15:$L$414,3,FALSE))</f>
        <v/>
      </c>
      <c r="F264" s="1784" t="str">
        <f>IF('3A.Occpcy&amp;Rent'!$D264="","",VLOOKUP($C264,'3A.Occpcy&amp;Rent'!$C$15:$L$414,10,FALSE))</f>
        <v/>
      </c>
      <c r="G264" s="1785" t="str">
        <f>IF('3A.Occpcy&amp;Rent'!$D264="","",VLOOKUP($C264,'3A.Occpcy&amp;Rent'!$C$15:$L$414,5,FALSE))</f>
        <v/>
      </c>
      <c r="H264" s="1727"/>
      <c r="I264" s="1727"/>
      <c r="J264" s="1727"/>
      <c r="K264" s="1727"/>
      <c r="L264" s="1727"/>
      <c r="M264" s="1469"/>
      <c r="N264" s="1729"/>
      <c r="P264" s="1597">
        <f t="shared" si="9"/>
        <v>1</v>
      </c>
      <c r="Q264" s="1597">
        <f t="shared" si="11"/>
        <v>1</v>
      </c>
      <c r="R264">
        <f t="shared" si="10"/>
        <v>0</v>
      </c>
    </row>
    <row r="265" spans="3:18" ht="20.100000000000001" customHeight="1">
      <c r="C265" s="34">
        <v>251</v>
      </c>
      <c r="D265" s="1782" t="str">
        <f>IF('3A.Occpcy&amp;Rent'!$D265="","",VLOOKUP($C265,'3A.Occpcy&amp;Rent'!$C$15:$L$414,2,FALSE))</f>
        <v/>
      </c>
      <c r="E265" s="1783" t="str">
        <f>IF('3A.Occpcy&amp;Rent'!$D265="","",VLOOKUP($C265,'3A.Occpcy&amp;Rent'!$C$15:$L$414,3,FALSE))</f>
        <v/>
      </c>
      <c r="F265" s="1784" t="str">
        <f>IF('3A.Occpcy&amp;Rent'!$D265="","",VLOOKUP($C265,'3A.Occpcy&amp;Rent'!$C$15:$L$414,10,FALSE))</f>
        <v/>
      </c>
      <c r="G265" s="1785" t="str">
        <f>IF('3A.Occpcy&amp;Rent'!$D265="","",VLOOKUP($C265,'3A.Occpcy&amp;Rent'!$C$15:$L$414,5,FALSE))</f>
        <v/>
      </c>
      <c r="H265" s="1727"/>
      <c r="I265" s="1727"/>
      <c r="J265" s="1727"/>
      <c r="K265" s="1727"/>
      <c r="L265" s="1727"/>
      <c r="M265" s="1469"/>
      <c r="N265" s="1729"/>
      <c r="P265" s="1597">
        <f t="shared" si="9"/>
        <v>1</v>
      </c>
      <c r="Q265" s="1597">
        <f t="shared" si="11"/>
        <v>1</v>
      </c>
      <c r="R265">
        <f t="shared" si="10"/>
        <v>0</v>
      </c>
    </row>
    <row r="266" spans="3:18" ht="20.100000000000001" customHeight="1">
      <c r="C266" s="34">
        <v>252</v>
      </c>
      <c r="D266" s="1782" t="str">
        <f>IF('3A.Occpcy&amp;Rent'!$D266="","",VLOOKUP($C266,'3A.Occpcy&amp;Rent'!$C$15:$L$414,2,FALSE))</f>
        <v/>
      </c>
      <c r="E266" s="1783" t="str">
        <f>IF('3A.Occpcy&amp;Rent'!$D266="","",VLOOKUP($C266,'3A.Occpcy&amp;Rent'!$C$15:$L$414,3,FALSE))</f>
        <v/>
      </c>
      <c r="F266" s="1784" t="str">
        <f>IF('3A.Occpcy&amp;Rent'!$D266="","",VLOOKUP($C266,'3A.Occpcy&amp;Rent'!$C$15:$L$414,10,FALSE))</f>
        <v/>
      </c>
      <c r="G266" s="1785" t="str">
        <f>IF('3A.Occpcy&amp;Rent'!$D266="","",VLOOKUP($C266,'3A.Occpcy&amp;Rent'!$C$15:$L$414,5,FALSE))</f>
        <v/>
      </c>
      <c r="H266" s="1727"/>
      <c r="I266" s="1727"/>
      <c r="J266" s="1727"/>
      <c r="K266" s="1727"/>
      <c r="L266" s="1727"/>
      <c r="M266" s="1469"/>
      <c r="N266" s="1729"/>
      <c r="P266" s="1597">
        <f t="shared" si="9"/>
        <v>1</v>
      </c>
      <c r="Q266" s="1597">
        <f t="shared" si="11"/>
        <v>1</v>
      </c>
      <c r="R266">
        <f t="shared" si="10"/>
        <v>0</v>
      </c>
    </row>
    <row r="267" spans="3:18" ht="20.100000000000001" customHeight="1">
      <c r="C267" s="34">
        <v>253</v>
      </c>
      <c r="D267" s="1782" t="str">
        <f>IF('3A.Occpcy&amp;Rent'!$D267="","",VLOOKUP($C267,'3A.Occpcy&amp;Rent'!$C$15:$L$414,2,FALSE))</f>
        <v/>
      </c>
      <c r="E267" s="1783" t="str">
        <f>IF('3A.Occpcy&amp;Rent'!$D267="","",VLOOKUP($C267,'3A.Occpcy&amp;Rent'!$C$15:$L$414,3,FALSE))</f>
        <v/>
      </c>
      <c r="F267" s="1784" t="str">
        <f>IF('3A.Occpcy&amp;Rent'!$D267="","",VLOOKUP($C267,'3A.Occpcy&amp;Rent'!$C$15:$L$414,10,FALSE))</f>
        <v/>
      </c>
      <c r="G267" s="1785" t="str">
        <f>IF('3A.Occpcy&amp;Rent'!$D267="","",VLOOKUP($C267,'3A.Occpcy&amp;Rent'!$C$15:$L$414,5,FALSE))</f>
        <v/>
      </c>
      <c r="H267" s="1727"/>
      <c r="I267" s="1727"/>
      <c r="J267" s="1727"/>
      <c r="K267" s="1727"/>
      <c r="L267" s="1727"/>
      <c r="M267" s="1469"/>
      <c r="N267" s="1729"/>
      <c r="P267" s="1597">
        <f t="shared" si="9"/>
        <v>1</v>
      </c>
      <c r="Q267" s="1597">
        <f t="shared" si="11"/>
        <v>1</v>
      </c>
      <c r="R267">
        <f t="shared" si="10"/>
        <v>0</v>
      </c>
    </row>
    <row r="268" spans="3:18" ht="20.100000000000001" customHeight="1">
      <c r="C268" s="34">
        <v>254</v>
      </c>
      <c r="D268" s="1782" t="str">
        <f>IF('3A.Occpcy&amp;Rent'!$D268="","",VLOOKUP($C268,'3A.Occpcy&amp;Rent'!$C$15:$L$414,2,FALSE))</f>
        <v/>
      </c>
      <c r="E268" s="1783" t="str">
        <f>IF('3A.Occpcy&amp;Rent'!$D268="","",VLOOKUP($C268,'3A.Occpcy&amp;Rent'!$C$15:$L$414,3,FALSE))</f>
        <v/>
      </c>
      <c r="F268" s="1784" t="str">
        <f>IF('3A.Occpcy&amp;Rent'!$D268="","",VLOOKUP($C268,'3A.Occpcy&amp;Rent'!$C$15:$L$414,10,FALSE))</f>
        <v/>
      </c>
      <c r="G268" s="1785" t="str">
        <f>IF('3A.Occpcy&amp;Rent'!$D268="","",VLOOKUP($C268,'3A.Occpcy&amp;Rent'!$C$15:$L$414,5,FALSE))</f>
        <v/>
      </c>
      <c r="H268" s="1727"/>
      <c r="I268" s="1727"/>
      <c r="J268" s="1727"/>
      <c r="K268" s="1727"/>
      <c r="L268" s="1727"/>
      <c r="M268" s="1469"/>
      <c r="N268" s="1729"/>
      <c r="P268" s="1597">
        <f t="shared" si="9"/>
        <v>1</v>
      </c>
      <c r="Q268" s="1597">
        <f t="shared" si="11"/>
        <v>1</v>
      </c>
      <c r="R268">
        <f t="shared" si="10"/>
        <v>0</v>
      </c>
    </row>
    <row r="269" spans="3:18" ht="20.100000000000001" customHeight="1">
      <c r="C269" s="34">
        <v>255</v>
      </c>
      <c r="D269" s="1782" t="str">
        <f>IF('3A.Occpcy&amp;Rent'!$D269="","",VLOOKUP($C269,'3A.Occpcy&amp;Rent'!$C$15:$L$414,2,FALSE))</f>
        <v/>
      </c>
      <c r="E269" s="1783" t="str">
        <f>IF('3A.Occpcy&amp;Rent'!$D269="","",VLOOKUP($C269,'3A.Occpcy&amp;Rent'!$C$15:$L$414,3,FALSE))</f>
        <v/>
      </c>
      <c r="F269" s="1784" t="str">
        <f>IF('3A.Occpcy&amp;Rent'!$D269="","",VLOOKUP($C269,'3A.Occpcy&amp;Rent'!$C$15:$L$414,10,FALSE))</f>
        <v/>
      </c>
      <c r="G269" s="1785" t="str">
        <f>IF('3A.Occpcy&amp;Rent'!$D269="","",VLOOKUP($C269,'3A.Occpcy&amp;Rent'!$C$15:$L$414,5,FALSE))</f>
        <v/>
      </c>
      <c r="H269" s="1727"/>
      <c r="I269" s="1727"/>
      <c r="J269" s="1727"/>
      <c r="K269" s="1727"/>
      <c r="L269" s="1727"/>
      <c r="M269" s="1469"/>
      <c r="N269" s="1729"/>
      <c r="P269" s="1597">
        <f t="shared" si="9"/>
        <v>1</v>
      </c>
      <c r="Q269" s="1597">
        <f t="shared" si="11"/>
        <v>1</v>
      </c>
      <c r="R269">
        <f t="shared" si="10"/>
        <v>0</v>
      </c>
    </row>
    <row r="270" spans="3:18" ht="20.100000000000001" customHeight="1">
      <c r="C270" s="34">
        <v>256</v>
      </c>
      <c r="D270" s="1782" t="str">
        <f>IF('3A.Occpcy&amp;Rent'!$D270="","",VLOOKUP($C270,'3A.Occpcy&amp;Rent'!$C$15:$L$414,2,FALSE))</f>
        <v/>
      </c>
      <c r="E270" s="1783" t="str">
        <f>IF('3A.Occpcy&amp;Rent'!$D270="","",VLOOKUP($C270,'3A.Occpcy&amp;Rent'!$C$15:$L$414,3,FALSE))</f>
        <v/>
      </c>
      <c r="F270" s="1784" t="str">
        <f>IF('3A.Occpcy&amp;Rent'!$D270="","",VLOOKUP($C270,'3A.Occpcy&amp;Rent'!$C$15:$L$414,10,FALSE))</f>
        <v/>
      </c>
      <c r="G270" s="1785" t="str">
        <f>IF('3A.Occpcy&amp;Rent'!$D270="","",VLOOKUP($C270,'3A.Occpcy&amp;Rent'!$C$15:$L$414,5,FALSE))</f>
        <v/>
      </c>
      <c r="H270" s="1727"/>
      <c r="I270" s="1727"/>
      <c r="J270" s="1727"/>
      <c r="K270" s="1727"/>
      <c r="L270" s="1727"/>
      <c r="M270" s="1469"/>
      <c r="N270" s="1729"/>
      <c r="P270" s="1597">
        <f t="shared" si="9"/>
        <v>1</v>
      </c>
      <c r="Q270" s="1597">
        <f t="shared" si="11"/>
        <v>1</v>
      </c>
      <c r="R270">
        <f t="shared" si="10"/>
        <v>0</v>
      </c>
    </row>
    <row r="271" spans="3:18" ht="20.100000000000001" customHeight="1">
      <c r="C271" s="34">
        <v>257</v>
      </c>
      <c r="D271" s="1782" t="str">
        <f>IF('3A.Occpcy&amp;Rent'!$D271="","",VLOOKUP($C271,'3A.Occpcy&amp;Rent'!$C$15:$L$414,2,FALSE))</f>
        <v/>
      </c>
      <c r="E271" s="1783" t="str">
        <f>IF('3A.Occpcy&amp;Rent'!$D271="","",VLOOKUP($C271,'3A.Occpcy&amp;Rent'!$C$15:$L$414,3,FALSE))</f>
        <v/>
      </c>
      <c r="F271" s="1784" t="str">
        <f>IF('3A.Occpcy&amp;Rent'!$D271="","",VLOOKUP($C271,'3A.Occpcy&amp;Rent'!$C$15:$L$414,10,FALSE))</f>
        <v/>
      </c>
      <c r="G271" s="1785" t="str">
        <f>IF('3A.Occpcy&amp;Rent'!$D271="","",VLOOKUP($C271,'3A.Occpcy&amp;Rent'!$C$15:$L$414,5,FALSE))</f>
        <v/>
      </c>
      <c r="H271" s="1727"/>
      <c r="I271" s="1727"/>
      <c r="J271" s="1727"/>
      <c r="K271" s="1727"/>
      <c r="L271" s="1727"/>
      <c r="M271" s="1469"/>
      <c r="N271" s="1729"/>
      <c r="P271" s="1597">
        <f t="shared" ref="P271:P334" si="12">IF(AND(D271&lt;&gt;0,H271&lt;&gt;0,I271&lt;&gt;0),1,IF(AND(D271="",H271="",I271=""),1,0))</f>
        <v>1</v>
      </c>
      <c r="Q271" s="1597">
        <f t="shared" si="11"/>
        <v>1</v>
      </c>
      <c r="R271">
        <f t="shared" ref="R271:R334" si="13">IF(H271=$V$14,$V$14,IF(OR(AND(H271=$V$15,I271=$W$24),AND(H271=$V$16,I271=$W$24)),$W$24,IF(OR(AND(H271=$V$15,I271&lt;&gt;$W$24),AND(H271=$V$16,I271&lt;&gt;$W$24)),I271,0)))</f>
        <v>0</v>
      </c>
    </row>
    <row r="272" spans="3:18" ht="20.100000000000001" customHeight="1">
      <c r="C272" s="34">
        <v>258</v>
      </c>
      <c r="D272" s="1782" t="str">
        <f>IF('3A.Occpcy&amp;Rent'!$D272="","",VLOOKUP($C272,'3A.Occpcy&amp;Rent'!$C$15:$L$414,2,FALSE))</f>
        <v/>
      </c>
      <c r="E272" s="1783" t="str">
        <f>IF('3A.Occpcy&amp;Rent'!$D272="","",VLOOKUP($C272,'3A.Occpcy&amp;Rent'!$C$15:$L$414,3,FALSE))</f>
        <v/>
      </c>
      <c r="F272" s="1784" t="str">
        <f>IF('3A.Occpcy&amp;Rent'!$D272="","",VLOOKUP($C272,'3A.Occpcy&amp;Rent'!$C$15:$L$414,10,FALSE))</f>
        <v/>
      </c>
      <c r="G272" s="1785" t="str">
        <f>IF('3A.Occpcy&amp;Rent'!$D272="","",VLOOKUP($C272,'3A.Occpcy&amp;Rent'!$C$15:$L$414,5,FALSE))</f>
        <v/>
      </c>
      <c r="H272" s="1727"/>
      <c r="I272" s="1727"/>
      <c r="J272" s="1727"/>
      <c r="K272" s="1727"/>
      <c r="L272" s="1727"/>
      <c r="M272" s="1469"/>
      <c r="N272" s="1729"/>
      <c r="P272" s="1597">
        <f t="shared" si="12"/>
        <v>1</v>
      </c>
      <c r="Q272" s="1597">
        <f t="shared" ref="Q272:Q335" si="14">IF(AND(D272&lt;&gt;0,J272&lt;&gt;0,K272&lt;&gt;0),1,IF(AND(D272="",J272="",K272=""),1,0))</f>
        <v>1</v>
      </c>
      <c r="R272">
        <f t="shared" si="13"/>
        <v>0</v>
      </c>
    </row>
    <row r="273" spans="3:18" ht="20.100000000000001" customHeight="1">
      <c r="C273" s="34">
        <v>259</v>
      </c>
      <c r="D273" s="1782" t="str">
        <f>IF('3A.Occpcy&amp;Rent'!$D273="","",VLOOKUP($C273,'3A.Occpcy&amp;Rent'!$C$15:$L$414,2,FALSE))</f>
        <v/>
      </c>
      <c r="E273" s="1783" t="str">
        <f>IF('3A.Occpcy&amp;Rent'!$D273="","",VLOOKUP($C273,'3A.Occpcy&amp;Rent'!$C$15:$L$414,3,FALSE))</f>
        <v/>
      </c>
      <c r="F273" s="1784" t="str">
        <f>IF('3A.Occpcy&amp;Rent'!$D273="","",VLOOKUP($C273,'3A.Occpcy&amp;Rent'!$C$15:$L$414,10,FALSE))</f>
        <v/>
      </c>
      <c r="G273" s="1785" t="str">
        <f>IF('3A.Occpcy&amp;Rent'!$D273="","",VLOOKUP($C273,'3A.Occpcy&amp;Rent'!$C$15:$L$414,5,FALSE))</f>
        <v/>
      </c>
      <c r="H273" s="1727"/>
      <c r="I273" s="1727"/>
      <c r="J273" s="1727"/>
      <c r="K273" s="1727"/>
      <c r="L273" s="1727"/>
      <c r="M273" s="1469"/>
      <c r="N273" s="1729"/>
      <c r="P273" s="1597">
        <f t="shared" si="12"/>
        <v>1</v>
      </c>
      <c r="Q273" s="1597">
        <f t="shared" si="14"/>
        <v>1</v>
      </c>
      <c r="R273">
        <f t="shared" si="13"/>
        <v>0</v>
      </c>
    </row>
    <row r="274" spans="3:18" ht="20.100000000000001" customHeight="1">
      <c r="C274" s="34">
        <v>260</v>
      </c>
      <c r="D274" s="1782" t="str">
        <f>IF('3A.Occpcy&amp;Rent'!$D274="","",VLOOKUP($C274,'3A.Occpcy&amp;Rent'!$C$15:$L$414,2,FALSE))</f>
        <v/>
      </c>
      <c r="E274" s="1783" t="str">
        <f>IF('3A.Occpcy&amp;Rent'!$D274="","",VLOOKUP($C274,'3A.Occpcy&amp;Rent'!$C$15:$L$414,3,FALSE))</f>
        <v/>
      </c>
      <c r="F274" s="1784" t="str">
        <f>IF('3A.Occpcy&amp;Rent'!$D274="","",VLOOKUP($C274,'3A.Occpcy&amp;Rent'!$C$15:$L$414,10,FALSE))</f>
        <v/>
      </c>
      <c r="G274" s="1785" t="str">
        <f>IF('3A.Occpcy&amp;Rent'!$D274="","",VLOOKUP($C274,'3A.Occpcy&amp;Rent'!$C$15:$L$414,5,FALSE))</f>
        <v/>
      </c>
      <c r="H274" s="1727"/>
      <c r="I274" s="1727"/>
      <c r="J274" s="1727"/>
      <c r="K274" s="1727"/>
      <c r="L274" s="1727"/>
      <c r="M274" s="1469"/>
      <c r="N274" s="1729"/>
      <c r="P274" s="1597">
        <f t="shared" si="12"/>
        <v>1</v>
      </c>
      <c r="Q274" s="1597">
        <f t="shared" si="14"/>
        <v>1</v>
      </c>
      <c r="R274">
        <f t="shared" si="13"/>
        <v>0</v>
      </c>
    </row>
    <row r="275" spans="3:18" ht="20.100000000000001" customHeight="1">
      <c r="C275" s="34">
        <v>261</v>
      </c>
      <c r="D275" s="1782" t="str">
        <f>IF('3A.Occpcy&amp;Rent'!$D275="","",VLOOKUP($C275,'3A.Occpcy&amp;Rent'!$C$15:$L$414,2,FALSE))</f>
        <v/>
      </c>
      <c r="E275" s="1783" t="str">
        <f>IF('3A.Occpcy&amp;Rent'!$D275="","",VLOOKUP($C275,'3A.Occpcy&amp;Rent'!$C$15:$L$414,3,FALSE))</f>
        <v/>
      </c>
      <c r="F275" s="1784" t="str">
        <f>IF('3A.Occpcy&amp;Rent'!$D275="","",VLOOKUP($C275,'3A.Occpcy&amp;Rent'!$C$15:$L$414,10,FALSE))</f>
        <v/>
      </c>
      <c r="G275" s="1785" t="str">
        <f>IF('3A.Occpcy&amp;Rent'!$D275="","",VLOOKUP($C275,'3A.Occpcy&amp;Rent'!$C$15:$L$414,5,FALSE))</f>
        <v/>
      </c>
      <c r="H275" s="1727"/>
      <c r="I275" s="1727"/>
      <c r="J275" s="1727"/>
      <c r="K275" s="1727"/>
      <c r="L275" s="1727"/>
      <c r="M275" s="1469"/>
      <c r="N275" s="1729"/>
      <c r="P275" s="1597">
        <f t="shared" si="12"/>
        <v>1</v>
      </c>
      <c r="Q275" s="1597">
        <f t="shared" si="14"/>
        <v>1</v>
      </c>
      <c r="R275">
        <f t="shared" si="13"/>
        <v>0</v>
      </c>
    </row>
    <row r="276" spans="3:18" ht="20.100000000000001" customHeight="1">
      <c r="C276" s="34">
        <v>262</v>
      </c>
      <c r="D276" s="1782" t="str">
        <f>IF('3A.Occpcy&amp;Rent'!$D276="","",VLOOKUP($C276,'3A.Occpcy&amp;Rent'!$C$15:$L$414,2,FALSE))</f>
        <v/>
      </c>
      <c r="E276" s="1783" t="str">
        <f>IF('3A.Occpcy&amp;Rent'!$D276="","",VLOOKUP($C276,'3A.Occpcy&amp;Rent'!$C$15:$L$414,3,FALSE))</f>
        <v/>
      </c>
      <c r="F276" s="1784" t="str">
        <f>IF('3A.Occpcy&amp;Rent'!$D276="","",VLOOKUP($C276,'3A.Occpcy&amp;Rent'!$C$15:$L$414,10,FALSE))</f>
        <v/>
      </c>
      <c r="G276" s="1785" t="str">
        <f>IF('3A.Occpcy&amp;Rent'!$D276="","",VLOOKUP($C276,'3A.Occpcy&amp;Rent'!$C$15:$L$414,5,FALSE))</f>
        <v/>
      </c>
      <c r="H276" s="1727"/>
      <c r="I276" s="1727"/>
      <c r="J276" s="1727"/>
      <c r="K276" s="1727"/>
      <c r="L276" s="1727"/>
      <c r="M276" s="1469"/>
      <c r="N276" s="1729"/>
      <c r="P276" s="1597">
        <f t="shared" si="12"/>
        <v>1</v>
      </c>
      <c r="Q276" s="1597">
        <f t="shared" si="14"/>
        <v>1</v>
      </c>
      <c r="R276">
        <f t="shared" si="13"/>
        <v>0</v>
      </c>
    </row>
    <row r="277" spans="3:18" ht="20.100000000000001" customHeight="1">
      <c r="C277" s="34">
        <v>263</v>
      </c>
      <c r="D277" s="1782" t="str">
        <f>IF('3A.Occpcy&amp;Rent'!$D277="","",VLOOKUP($C277,'3A.Occpcy&amp;Rent'!$C$15:$L$414,2,FALSE))</f>
        <v/>
      </c>
      <c r="E277" s="1783" t="str">
        <f>IF('3A.Occpcy&amp;Rent'!$D277="","",VLOOKUP($C277,'3A.Occpcy&amp;Rent'!$C$15:$L$414,3,FALSE))</f>
        <v/>
      </c>
      <c r="F277" s="1784" t="str">
        <f>IF('3A.Occpcy&amp;Rent'!$D277="","",VLOOKUP($C277,'3A.Occpcy&amp;Rent'!$C$15:$L$414,10,FALSE))</f>
        <v/>
      </c>
      <c r="G277" s="1785" t="str">
        <f>IF('3A.Occpcy&amp;Rent'!$D277="","",VLOOKUP($C277,'3A.Occpcy&amp;Rent'!$C$15:$L$414,5,FALSE))</f>
        <v/>
      </c>
      <c r="H277" s="1727"/>
      <c r="I277" s="1727"/>
      <c r="J277" s="1727"/>
      <c r="K277" s="1727"/>
      <c r="L277" s="1727"/>
      <c r="M277" s="1469"/>
      <c r="N277" s="1729"/>
      <c r="P277" s="1597">
        <f t="shared" si="12"/>
        <v>1</v>
      </c>
      <c r="Q277" s="1597">
        <f t="shared" si="14"/>
        <v>1</v>
      </c>
      <c r="R277">
        <f t="shared" si="13"/>
        <v>0</v>
      </c>
    </row>
    <row r="278" spans="3:18" ht="20.100000000000001" customHeight="1">
      <c r="C278" s="34">
        <v>264</v>
      </c>
      <c r="D278" s="1782" t="str">
        <f>IF('3A.Occpcy&amp;Rent'!$D278="","",VLOOKUP($C278,'3A.Occpcy&amp;Rent'!$C$15:$L$414,2,FALSE))</f>
        <v/>
      </c>
      <c r="E278" s="1783" t="str">
        <f>IF('3A.Occpcy&amp;Rent'!$D278="","",VLOOKUP($C278,'3A.Occpcy&amp;Rent'!$C$15:$L$414,3,FALSE))</f>
        <v/>
      </c>
      <c r="F278" s="1784" t="str">
        <f>IF('3A.Occpcy&amp;Rent'!$D278="","",VLOOKUP($C278,'3A.Occpcy&amp;Rent'!$C$15:$L$414,10,FALSE))</f>
        <v/>
      </c>
      <c r="G278" s="1785" t="str">
        <f>IF('3A.Occpcy&amp;Rent'!$D278="","",VLOOKUP($C278,'3A.Occpcy&amp;Rent'!$C$15:$L$414,5,FALSE))</f>
        <v/>
      </c>
      <c r="H278" s="1727"/>
      <c r="I278" s="1727"/>
      <c r="J278" s="1727"/>
      <c r="K278" s="1727"/>
      <c r="L278" s="1727"/>
      <c r="M278" s="1469"/>
      <c r="N278" s="1729"/>
      <c r="P278" s="1597">
        <f t="shared" si="12"/>
        <v>1</v>
      </c>
      <c r="Q278" s="1597">
        <f t="shared" si="14"/>
        <v>1</v>
      </c>
      <c r="R278">
        <f t="shared" si="13"/>
        <v>0</v>
      </c>
    </row>
    <row r="279" spans="3:18" ht="20.100000000000001" customHeight="1">
      <c r="C279" s="34">
        <v>265</v>
      </c>
      <c r="D279" s="1782" t="str">
        <f>IF('3A.Occpcy&amp;Rent'!$D279="","",VLOOKUP($C279,'3A.Occpcy&amp;Rent'!$C$15:$L$414,2,FALSE))</f>
        <v/>
      </c>
      <c r="E279" s="1783" t="str">
        <f>IF('3A.Occpcy&amp;Rent'!$D279="","",VLOOKUP($C279,'3A.Occpcy&amp;Rent'!$C$15:$L$414,3,FALSE))</f>
        <v/>
      </c>
      <c r="F279" s="1784" t="str">
        <f>IF('3A.Occpcy&amp;Rent'!$D279="","",VLOOKUP($C279,'3A.Occpcy&amp;Rent'!$C$15:$L$414,10,FALSE))</f>
        <v/>
      </c>
      <c r="G279" s="1785" t="str">
        <f>IF('3A.Occpcy&amp;Rent'!$D279="","",VLOOKUP($C279,'3A.Occpcy&amp;Rent'!$C$15:$L$414,5,FALSE))</f>
        <v/>
      </c>
      <c r="H279" s="1727"/>
      <c r="I279" s="1727"/>
      <c r="J279" s="1727"/>
      <c r="K279" s="1727"/>
      <c r="L279" s="1727"/>
      <c r="M279" s="1469"/>
      <c r="N279" s="1729"/>
      <c r="P279" s="1597">
        <f t="shared" si="12"/>
        <v>1</v>
      </c>
      <c r="Q279" s="1597">
        <f t="shared" si="14"/>
        <v>1</v>
      </c>
      <c r="R279">
        <f t="shared" si="13"/>
        <v>0</v>
      </c>
    </row>
    <row r="280" spans="3:18" ht="20.100000000000001" customHeight="1">
      <c r="C280" s="34">
        <v>266</v>
      </c>
      <c r="D280" s="1782" t="str">
        <f>IF('3A.Occpcy&amp;Rent'!$D280="","",VLOOKUP($C280,'3A.Occpcy&amp;Rent'!$C$15:$L$414,2,FALSE))</f>
        <v/>
      </c>
      <c r="E280" s="1783" t="str">
        <f>IF('3A.Occpcy&amp;Rent'!$D280="","",VLOOKUP($C280,'3A.Occpcy&amp;Rent'!$C$15:$L$414,3,FALSE))</f>
        <v/>
      </c>
      <c r="F280" s="1784" t="str">
        <f>IF('3A.Occpcy&amp;Rent'!$D280="","",VLOOKUP($C280,'3A.Occpcy&amp;Rent'!$C$15:$L$414,10,FALSE))</f>
        <v/>
      </c>
      <c r="G280" s="1785" t="str">
        <f>IF('3A.Occpcy&amp;Rent'!$D280="","",VLOOKUP($C280,'3A.Occpcy&amp;Rent'!$C$15:$L$414,5,FALSE))</f>
        <v/>
      </c>
      <c r="H280" s="1727"/>
      <c r="I280" s="1727"/>
      <c r="J280" s="1727"/>
      <c r="K280" s="1727"/>
      <c r="L280" s="1727"/>
      <c r="M280" s="1469"/>
      <c r="N280" s="1729"/>
      <c r="P280" s="1597">
        <f t="shared" si="12"/>
        <v>1</v>
      </c>
      <c r="Q280" s="1597">
        <f t="shared" si="14"/>
        <v>1</v>
      </c>
      <c r="R280">
        <f t="shared" si="13"/>
        <v>0</v>
      </c>
    </row>
    <row r="281" spans="3:18" ht="20.100000000000001" customHeight="1">
      <c r="C281" s="34">
        <v>267</v>
      </c>
      <c r="D281" s="1782" t="str">
        <f>IF('3A.Occpcy&amp;Rent'!$D281="","",VLOOKUP($C281,'3A.Occpcy&amp;Rent'!$C$15:$L$414,2,FALSE))</f>
        <v/>
      </c>
      <c r="E281" s="1783" t="str">
        <f>IF('3A.Occpcy&amp;Rent'!$D281="","",VLOOKUP($C281,'3A.Occpcy&amp;Rent'!$C$15:$L$414,3,FALSE))</f>
        <v/>
      </c>
      <c r="F281" s="1784" t="str">
        <f>IF('3A.Occpcy&amp;Rent'!$D281="","",VLOOKUP($C281,'3A.Occpcy&amp;Rent'!$C$15:$L$414,10,FALSE))</f>
        <v/>
      </c>
      <c r="G281" s="1785" t="str">
        <f>IF('3A.Occpcy&amp;Rent'!$D281="","",VLOOKUP($C281,'3A.Occpcy&amp;Rent'!$C$15:$L$414,5,FALSE))</f>
        <v/>
      </c>
      <c r="H281" s="1727"/>
      <c r="I281" s="1727"/>
      <c r="J281" s="1727"/>
      <c r="K281" s="1727"/>
      <c r="L281" s="1727"/>
      <c r="M281" s="1469"/>
      <c r="N281" s="1729"/>
      <c r="P281" s="1597">
        <f t="shared" si="12"/>
        <v>1</v>
      </c>
      <c r="Q281" s="1597">
        <f t="shared" si="14"/>
        <v>1</v>
      </c>
      <c r="R281">
        <f t="shared" si="13"/>
        <v>0</v>
      </c>
    </row>
    <row r="282" spans="3:18" ht="20.100000000000001" customHeight="1">
      <c r="C282" s="34">
        <v>268</v>
      </c>
      <c r="D282" s="1782" t="str">
        <f>IF('3A.Occpcy&amp;Rent'!$D282="","",VLOOKUP($C282,'3A.Occpcy&amp;Rent'!$C$15:$L$414,2,FALSE))</f>
        <v/>
      </c>
      <c r="E282" s="1783" t="str">
        <f>IF('3A.Occpcy&amp;Rent'!$D282="","",VLOOKUP($C282,'3A.Occpcy&amp;Rent'!$C$15:$L$414,3,FALSE))</f>
        <v/>
      </c>
      <c r="F282" s="1784" t="str">
        <f>IF('3A.Occpcy&amp;Rent'!$D282="","",VLOOKUP($C282,'3A.Occpcy&amp;Rent'!$C$15:$L$414,10,FALSE))</f>
        <v/>
      </c>
      <c r="G282" s="1785" t="str">
        <f>IF('3A.Occpcy&amp;Rent'!$D282="","",VLOOKUP($C282,'3A.Occpcy&amp;Rent'!$C$15:$L$414,5,FALSE))</f>
        <v/>
      </c>
      <c r="H282" s="1727"/>
      <c r="I282" s="1727"/>
      <c r="J282" s="1727"/>
      <c r="K282" s="1727"/>
      <c r="L282" s="1727"/>
      <c r="M282" s="1469"/>
      <c r="N282" s="1729"/>
      <c r="P282" s="1597">
        <f t="shared" si="12"/>
        <v>1</v>
      </c>
      <c r="Q282" s="1597">
        <f t="shared" si="14"/>
        <v>1</v>
      </c>
      <c r="R282">
        <f t="shared" si="13"/>
        <v>0</v>
      </c>
    </row>
    <row r="283" spans="3:18" ht="20.100000000000001" customHeight="1">
      <c r="C283" s="34">
        <v>269</v>
      </c>
      <c r="D283" s="1782" t="str">
        <f>IF('3A.Occpcy&amp;Rent'!$D283="","",VLOOKUP($C283,'3A.Occpcy&amp;Rent'!$C$15:$L$414,2,FALSE))</f>
        <v/>
      </c>
      <c r="E283" s="1783" t="str">
        <f>IF('3A.Occpcy&amp;Rent'!$D283="","",VLOOKUP($C283,'3A.Occpcy&amp;Rent'!$C$15:$L$414,3,FALSE))</f>
        <v/>
      </c>
      <c r="F283" s="1784" t="str">
        <f>IF('3A.Occpcy&amp;Rent'!$D283="","",VLOOKUP($C283,'3A.Occpcy&amp;Rent'!$C$15:$L$414,10,FALSE))</f>
        <v/>
      </c>
      <c r="G283" s="1785" t="str">
        <f>IF('3A.Occpcy&amp;Rent'!$D283="","",VLOOKUP($C283,'3A.Occpcy&amp;Rent'!$C$15:$L$414,5,FALSE))</f>
        <v/>
      </c>
      <c r="H283" s="1727"/>
      <c r="I283" s="1727"/>
      <c r="J283" s="1727"/>
      <c r="K283" s="1727"/>
      <c r="L283" s="1727"/>
      <c r="M283" s="1469"/>
      <c r="N283" s="1729"/>
      <c r="P283" s="1597">
        <f t="shared" si="12"/>
        <v>1</v>
      </c>
      <c r="Q283" s="1597">
        <f t="shared" si="14"/>
        <v>1</v>
      </c>
      <c r="R283">
        <f t="shared" si="13"/>
        <v>0</v>
      </c>
    </row>
    <row r="284" spans="3:18" ht="20.100000000000001" customHeight="1">
      <c r="C284" s="34">
        <v>270</v>
      </c>
      <c r="D284" s="1782" t="str">
        <f>IF('3A.Occpcy&amp;Rent'!$D284="","",VLOOKUP($C284,'3A.Occpcy&amp;Rent'!$C$15:$L$414,2,FALSE))</f>
        <v/>
      </c>
      <c r="E284" s="1783" t="str">
        <f>IF('3A.Occpcy&amp;Rent'!$D284="","",VLOOKUP($C284,'3A.Occpcy&amp;Rent'!$C$15:$L$414,3,FALSE))</f>
        <v/>
      </c>
      <c r="F284" s="1784" t="str">
        <f>IF('3A.Occpcy&amp;Rent'!$D284="","",VLOOKUP($C284,'3A.Occpcy&amp;Rent'!$C$15:$L$414,10,FALSE))</f>
        <v/>
      </c>
      <c r="G284" s="1785" t="str">
        <f>IF('3A.Occpcy&amp;Rent'!$D284="","",VLOOKUP($C284,'3A.Occpcy&amp;Rent'!$C$15:$L$414,5,FALSE))</f>
        <v/>
      </c>
      <c r="H284" s="1727"/>
      <c r="I284" s="1727"/>
      <c r="J284" s="1727"/>
      <c r="K284" s="1727"/>
      <c r="L284" s="1727"/>
      <c r="M284" s="1469"/>
      <c r="N284" s="1729"/>
      <c r="P284" s="1597">
        <f t="shared" si="12"/>
        <v>1</v>
      </c>
      <c r="Q284" s="1597">
        <f t="shared" si="14"/>
        <v>1</v>
      </c>
      <c r="R284">
        <f t="shared" si="13"/>
        <v>0</v>
      </c>
    </row>
    <row r="285" spans="3:18" ht="20.100000000000001" customHeight="1">
      <c r="C285" s="34">
        <v>271</v>
      </c>
      <c r="D285" s="1782" t="str">
        <f>IF('3A.Occpcy&amp;Rent'!$D285="","",VLOOKUP($C285,'3A.Occpcy&amp;Rent'!$C$15:$L$414,2,FALSE))</f>
        <v/>
      </c>
      <c r="E285" s="1783" t="str">
        <f>IF('3A.Occpcy&amp;Rent'!$D285="","",VLOOKUP($C285,'3A.Occpcy&amp;Rent'!$C$15:$L$414,3,FALSE))</f>
        <v/>
      </c>
      <c r="F285" s="1784" t="str">
        <f>IF('3A.Occpcy&amp;Rent'!$D285="","",VLOOKUP($C285,'3A.Occpcy&amp;Rent'!$C$15:$L$414,10,FALSE))</f>
        <v/>
      </c>
      <c r="G285" s="1785" t="str">
        <f>IF('3A.Occpcy&amp;Rent'!$D285="","",VLOOKUP($C285,'3A.Occpcy&amp;Rent'!$C$15:$L$414,5,FALSE))</f>
        <v/>
      </c>
      <c r="H285" s="1727"/>
      <c r="I285" s="1727"/>
      <c r="J285" s="1727"/>
      <c r="K285" s="1727"/>
      <c r="L285" s="1727"/>
      <c r="M285" s="1469"/>
      <c r="N285" s="1729"/>
      <c r="P285" s="1597">
        <f t="shared" si="12"/>
        <v>1</v>
      </c>
      <c r="Q285" s="1597">
        <f t="shared" si="14"/>
        <v>1</v>
      </c>
      <c r="R285">
        <f t="shared" si="13"/>
        <v>0</v>
      </c>
    </row>
    <row r="286" spans="3:18" ht="20.100000000000001" customHeight="1">
      <c r="C286" s="34">
        <v>272</v>
      </c>
      <c r="D286" s="1782" t="str">
        <f>IF('3A.Occpcy&amp;Rent'!$D286="","",VLOOKUP($C286,'3A.Occpcy&amp;Rent'!$C$15:$L$414,2,FALSE))</f>
        <v/>
      </c>
      <c r="E286" s="1783" t="str">
        <f>IF('3A.Occpcy&amp;Rent'!$D286="","",VLOOKUP($C286,'3A.Occpcy&amp;Rent'!$C$15:$L$414,3,FALSE))</f>
        <v/>
      </c>
      <c r="F286" s="1784" t="str">
        <f>IF('3A.Occpcy&amp;Rent'!$D286="","",VLOOKUP($C286,'3A.Occpcy&amp;Rent'!$C$15:$L$414,10,FALSE))</f>
        <v/>
      </c>
      <c r="G286" s="1785" t="str">
        <f>IF('3A.Occpcy&amp;Rent'!$D286="","",VLOOKUP($C286,'3A.Occpcy&amp;Rent'!$C$15:$L$414,5,FALSE))</f>
        <v/>
      </c>
      <c r="H286" s="1727"/>
      <c r="I286" s="1727"/>
      <c r="J286" s="1727"/>
      <c r="K286" s="1727"/>
      <c r="L286" s="1727"/>
      <c r="M286" s="1469"/>
      <c r="N286" s="1729"/>
      <c r="P286" s="1597">
        <f t="shared" si="12"/>
        <v>1</v>
      </c>
      <c r="Q286" s="1597">
        <f t="shared" si="14"/>
        <v>1</v>
      </c>
      <c r="R286">
        <f t="shared" si="13"/>
        <v>0</v>
      </c>
    </row>
    <row r="287" spans="3:18" ht="20.100000000000001" customHeight="1">
      <c r="C287" s="34">
        <v>273</v>
      </c>
      <c r="D287" s="1782" t="str">
        <f>IF('3A.Occpcy&amp;Rent'!$D287="","",VLOOKUP($C287,'3A.Occpcy&amp;Rent'!$C$15:$L$414,2,FALSE))</f>
        <v/>
      </c>
      <c r="E287" s="1783" t="str">
        <f>IF('3A.Occpcy&amp;Rent'!$D287="","",VLOOKUP($C287,'3A.Occpcy&amp;Rent'!$C$15:$L$414,3,FALSE))</f>
        <v/>
      </c>
      <c r="F287" s="1784" t="str">
        <f>IF('3A.Occpcy&amp;Rent'!$D287="","",VLOOKUP($C287,'3A.Occpcy&amp;Rent'!$C$15:$L$414,10,FALSE))</f>
        <v/>
      </c>
      <c r="G287" s="1785" t="str">
        <f>IF('3A.Occpcy&amp;Rent'!$D287="","",VLOOKUP($C287,'3A.Occpcy&amp;Rent'!$C$15:$L$414,5,FALSE))</f>
        <v/>
      </c>
      <c r="H287" s="1727"/>
      <c r="I287" s="1727"/>
      <c r="J287" s="1727"/>
      <c r="K287" s="1727"/>
      <c r="L287" s="1727"/>
      <c r="M287" s="1469"/>
      <c r="N287" s="1729"/>
      <c r="P287" s="1597">
        <f t="shared" si="12"/>
        <v>1</v>
      </c>
      <c r="Q287" s="1597">
        <f t="shared" si="14"/>
        <v>1</v>
      </c>
      <c r="R287">
        <f t="shared" si="13"/>
        <v>0</v>
      </c>
    </row>
    <row r="288" spans="3:18" ht="20.100000000000001" customHeight="1">
      <c r="C288" s="34">
        <v>274</v>
      </c>
      <c r="D288" s="1782" t="str">
        <f>IF('3A.Occpcy&amp;Rent'!$D288="","",VLOOKUP($C288,'3A.Occpcy&amp;Rent'!$C$15:$L$414,2,FALSE))</f>
        <v/>
      </c>
      <c r="E288" s="1783" t="str">
        <f>IF('3A.Occpcy&amp;Rent'!$D288="","",VLOOKUP($C288,'3A.Occpcy&amp;Rent'!$C$15:$L$414,3,FALSE))</f>
        <v/>
      </c>
      <c r="F288" s="1784" t="str">
        <f>IF('3A.Occpcy&amp;Rent'!$D288="","",VLOOKUP($C288,'3A.Occpcy&amp;Rent'!$C$15:$L$414,10,FALSE))</f>
        <v/>
      </c>
      <c r="G288" s="1785" t="str">
        <f>IF('3A.Occpcy&amp;Rent'!$D288="","",VLOOKUP($C288,'3A.Occpcy&amp;Rent'!$C$15:$L$414,5,FALSE))</f>
        <v/>
      </c>
      <c r="H288" s="1727"/>
      <c r="I288" s="1727"/>
      <c r="J288" s="1727"/>
      <c r="K288" s="1727"/>
      <c r="L288" s="1727"/>
      <c r="M288" s="1469"/>
      <c r="N288" s="1729"/>
      <c r="P288" s="1597">
        <f t="shared" si="12"/>
        <v>1</v>
      </c>
      <c r="Q288" s="1597">
        <f t="shared" si="14"/>
        <v>1</v>
      </c>
      <c r="R288">
        <f t="shared" si="13"/>
        <v>0</v>
      </c>
    </row>
    <row r="289" spans="3:18" ht="20.100000000000001" customHeight="1">
      <c r="C289" s="34">
        <v>275</v>
      </c>
      <c r="D289" s="1782" t="str">
        <f>IF('3A.Occpcy&amp;Rent'!$D289="","",VLOOKUP($C289,'3A.Occpcy&amp;Rent'!$C$15:$L$414,2,FALSE))</f>
        <v/>
      </c>
      <c r="E289" s="1783" t="str">
        <f>IF('3A.Occpcy&amp;Rent'!$D289="","",VLOOKUP($C289,'3A.Occpcy&amp;Rent'!$C$15:$L$414,3,FALSE))</f>
        <v/>
      </c>
      <c r="F289" s="1784" t="str">
        <f>IF('3A.Occpcy&amp;Rent'!$D289="","",VLOOKUP($C289,'3A.Occpcy&amp;Rent'!$C$15:$L$414,10,FALSE))</f>
        <v/>
      </c>
      <c r="G289" s="1785" t="str">
        <f>IF('3A.Occpcy&amp;Rent'!$D289="","",VLOOKUP($C289,'3A.Occpcy&amp;Rent'!$C$15:$L$414,5,FALSE))</f>
        <v/>
      </c>
      <c r="H289" s="1727"/>
      <c r="I289" s="1727"/>
      <c r="J289" s="1727"/>
      <c r="K289" s="1727"/>
      <c r="L289" s="1727"/>
      <c r="M289" s="1469"/>
      <c r="N289" s="1729"/>
      <c r="P289" s="1597">
        <f t="shared" si="12"/>
        <v>1</v>
      </c>
      <c r="Q289" s="1597">
        <f t="shared" si="14"/>
        <v>1</v>
      </c>
      <c r="R289">
        <f t="shared" si="13"/>
        <v>0</v>
      </c>
    </row>
    <row r="290" spans="3:18" ht="20.100000000000001" customHeight="1">
      <c r="C290" s="34">
        <v>276</v>
      </c>
      <c r="D290" s="1782" t="str">
        <f>IF('3A.Occpcy&amp;Rent'!$D290="","",VLOOKUP($C290,'3A.Occpcy&amp;Rent'!$C$15:$L$414,2,FALSE))</f>
        <v/>
      </c>
      <c r="E290" s="1783" t="str">
        <f>IF('3A.Occpcy&amp;Rent'!$D290="","",VLOOKUP($C290,'3A.Occpcy&amp;Rent'!$C$15:$L$414,3,FALSE))</f>
        <v/>
      </c>
      <c r="F290" s="1784" t="str">
        <f>IF('3A.Occpcy&amp;Rent'!$D290="","",VLOOKUP($C290,'3A.Occpcy&amp;Rent'!$C$15:$L$414,10,FALSE))</f>
        <v/>
      </c>
      <c r="G290" s="1785" t="str">
        <f>IF('3A.Occpcy&amp;Rent'!$D290="","",VLOOKUP($C290,'3A.Occpcy&amp;Rent'!$C$15:$L$414,5,FALSE))</f>
        <v/>
      </c>
      <c r="H290" s="1727"/>
      <c r="I290" s="1727"/>
      <c r="J290" s="1727"/>
      <c r="K290" s="1727"/>
      <c r="L290" s="1727"/>
      <c r="M290" s="1469"/>
      <c r="N290" s="1729"/>
      <c r="P290" s="1597">
        <f t="shared" si="12"/>
        <v>1</v>
      </c>
      <c r="Q290" s="1597">
        <f t="shared" si="14"/>
        <v>1</v>
      </c>
      <c r="R290">
        <f t="shared" si="13"/>
        <v>0</v>
      </c>
    </row>
    <row r="291" spans="3:18" ht="20.100000000000001" customHeight="1">
      <c r="C291" s="34">
        <v>277</v>
      </c>
      <c r="D291" s="1782" t="str">
        <f>IF('3A.Occpcy&amp;Rent'!$D291="","",VLOOKUP($C291,'3A.Occpcy&amp;Rent'!$C$15:$L$414,2,FALSE))</f>
        <v/>
      </c>
      <c r="E291" s="1783" t="str">
        <f>IF('3A.Occpcy&amp;Rent'!$D291="","",VLOOKUP($C291,'3A.Occpcy&amp;Rent'!$C$15:$L$414,3,FALSE))</f>
        <v/>
      </c>
      <c r="F291" s="1784" t="str">
        <f>IF('3A.Occpcy&amp;Rent'!$D291="","",VLOOKUP($C291,'3A.Occpcy&amp;Rent'!$C$15:$L$414,10,FALSE))</f>
        <v/>
      </c>
      <c r="G291" s="1785" t="str">
        <f>IF('3A.Occpcy&amp;Rent'!$D291="","",VLOOKUP($C291,'3A.Occpcy&amp;Rent'!$C$15:$L$414,5,FALSE))</f>
        <v/>
      </c>
      <c r="H291" s="1727"/>
      <c r="I291" s="1727"/>
      <c r="J291" s="1727"/>
      <c r="K291" s="1727"/>
      <c r="L291" s="1727"/>
      <c r="M291" s="1469"/>
      <c r="N291" s="1729"/>
      <c r="P291" s="1597">
        <f t="shared" si="12"/>
        <v>1</v>
      </c>
      <c r="Q291" s="1597">
        <f t="shared" si="14"/>
        <v>1</v>
      </c>
      <c r="R291">
        <f t="shared" si="13"/>
        <v>0</v>
      </c>
    </row>
    <row r="292" spans="3:18" ht="20.100000000000001" customHeight="1">
      <c r="C292" s="34">
        <v>278</v>
      </c>
      <c r="D292" s="1782" t="str">
        <f>IF('3A.Occpcy&amp;Rent'!$D292="","",VLOOKUP($C292,'3A.Occpcy&amp;Rent'!$C$15:$L$414,2,FALSE))</f>
        <v/>
      </c>
      <c r="E292" s="1783" t="str">
        <f>IF('3A.Occpcy&amp;Rent'!$D292="","",VLOOKUP($C292,'3A.Occpcy&amp;Rent'!$C$15:$L$414,3,FALSE))</f>
        <v/>
      </c>
      <c r="F292" s="1784" t="str">
        <f>IF('3A.Occpcy&amp;Rent'!$D292="","",VLOOKUP($C292,'3A.Occpcy&amp;Rent'!$C$15:$L$414,10,FALSE))</f>
        <v/>
      </c>
      <c r="G292" s="1785" t="str">
        <f>IF('3A.Occpcy&amp;Rent'!$D292="","",VLOOKUP($C292,'3A.Occpcy&amp;Rent'!$C$15:$L$414,5,FALSE))</f>
        <v/>
      </c>
      <c r="H292" s="1727"/>
      <c r="I292" s="1727"/>
      <c r="J292" s="1727"/>
      <c r="K292" s="1727"/>
      <c r="L292" s="1727"/>
      <c r="M292" s="1469"/>
      <c r="N292" s="1729"/>
      <c r="P292" s="1597">
        <f t="shared" si="12"/>
        <v>1</v>
      </c>
      <c r="Q292" s="1597">
        <f t="shared" si="14"/>
        <v>1</v>
      </c>
      <c r="R292">
        <f t="shared" si="13"/>
        <v>0</v>
      </c>
    </row>
    <row r="293" spans="3:18" ht="20.100000000000001" customHeight="1">
      <c r="C293" s="34">
        <v>279</v>
      </c>
      <c r="D293" s="1782" t="str">
        <f>IF('3A.Occpcy&amp;Rent'!$D293="","",VLOOKUP($C293,'3A.Occpcy&amp;Rent'!$C$15:$L$414,2,FALSE))</f>
        <v/>
      </c>
      <c r="E293" s="1783" t="str">
        <f>IF('3A.Occpcy&amp;Rent'!$D293="","",VLOOKUP($C293,'3A.Occpcy&amp;Rent'!$C$15:$L$414,3,FALSE))</f>
        <v/>
      </c>
      <c r="F293" s="1784" t="str">
        <f>IF('3A.Occpcy&amp;Rent'!$D293="","",VLOOKUP($C293,'3A.Occpcy&amp;Rent'!$C$15:$L$414,10,FALSE))</f>
        <v/>
      </c>
      <c r="G293" s="1785" t="str">
        <f>IF('3A.Occpcy&amp;Rent'!$D293="","",VLOOKUP($C293,'3A.Occpcy&amp;Rent'!$C$15:$L$414,5,FALSE))</f>
        <v/>
      </c>
      <c r="H293" s="1727"/>
      <c r="I293" s="1727"/>
      <c r="J293" s="1727"/>
      <c r="K293" s="1727"/>
      <c r="L293" s="1727"/>
      <c r="M293" s="1469"/>
      <c r="N293" s="1729"/>
      <c r="P293" s="1597">
        <f t="shared" si="12"/>
        <v>1</v>
      </c>
      <c r="Q293" s="1597">
        <f t="shared" si="14"/>
        <v>1</v>
      </c>
      <c r="R293">
        <f t="shared" si="13"/>
        <v>0</v>
      </c>
    </row>
    <row r="294" spans="3:18" ht="20.100000000000001" customHeight="1">
      <c r="C294" s="34">
        <v>280</v>
      </c>
      <c r="D294" s="1782" t="str">
        <f>IF('3A.Occpcy&amp;Rent'!$D294="","",VLOOKUP($C294,'3A.Occpcy&amp;Rent'!$C$15:$L$414,2,FALSE))</f>
        <v/>
      </c>
      <c r="E294" s="1783" t="str">
        <f>IF('3A.Occpcy&amp;Rent'!$D294="","",VLOOKUP($C294,'3A.Occpcy&amp;Rent'!$C$15:$L$414,3,FALSE))</f>
        <v/>
      </c>
      <c r="F294" s="1784" t="str">
        <f>IF('3A.Occpcy&amp;Rent'!$D294="","",VLOOKUP($C294,'3A.Occpcy&amp;Rent'!$C$15:$L$414,10,FALSE))</f>
        <v/>
      </c>
      <c r="G294" s="1785" t="str">
        <f>IF('3A.Occpcy&amp;Rent'!$D294="","",VLOOKUP($C294,'3A.Occpcy&amp;Rent'!$C$15:$L$414,5,FALSE))</f>
        <v/>
      </c>
      <c r="H294" s="1727"/>
      <c r="I294" s="1727"/>
      <c r="J294" s="1727"/>
      <c r="K294" s="1727"/>
      <c r="L294" s="1727"/>
      <c r="M294" s="1469"/>
      <c r="N294" s="1729"/>
      <c r="P294" s="1597">
        <f t="shared" si="12"/>
        <v>1</v>
      </c>
      <c r="Q294" s="1597">
        <f t="shared" si="14"/>
        <v>1</v>
      </c>
      <c r="R294">
        <f t="shared" si="13"/>
        <v>0</v>
      </c>
    </row>
    <row r="295" spans="3:18" ht="20.100000000000001" customHeight="1">
      <c r="C295" s="34">
        <v>281</v>
      </c>
      <c r="D295" s="1782" t="str">
        <f>IF('3A.Occpcy&amp;Rent'!$D295="","",VLOOKUP($C295,'3A.Occpcy&amp;Rent'!$C$15:$L$414,2,FALSE))</f>
        <v/>
      </c>
      <c r="E295" s="1783" t="str">
        <f>IF('3A.Occpcy&amp;Rent'!$D295="","",VLOOKUP($C295,'3A.Occpcy&amp;Rent'!$C$15:$L$414,3,FALSE))</f>
        <v/>
      </c>
      <c r="F295" s="1784" t="str">
        <f>IF('3A.Occpcy&amp;Rent'!$D295="","",VLOOKUP($C295,'3A.Occpcy&amp;Rent'!$C$15:$L$414,10,FALSE))</f>
        <v/>
      </c>
      <c r="G295" s="1785" t="str">
        <f>IF('3A.Occpcy&amp;Rent'!$D295="","",VLOOKUP($C295,'3A.Occpcy&amp;Rent'!$C$15:$L$414,5,FALSE))</f>
        <v/>
      </c>
      <c r="H295" s="1727"/>
      <c r="I295" s="1727"/>
      <c r="J295" s="1727"/>
      <c r="K295" s="1727"/>
      <c r="L295" s="1727"/>
      <c r="M295" s="1469"/>
      <c r="N295" s="1729"/>
      <c r="P295" s="1597">
        <f t="shared" si="12"/>
        <v>1</v>
      </c>
      <c r="Q295" s="1597">
        <f t="shared" si="14"/>
        <v>1</v>
      </c>
      <c r="R295">
        <f t="shared" si="13"/>
        <v>0</v>
      </c>
    </row>
    <row r="296" spans="3:18" ht="20.100000000000001" customHeight="1">
      <c r="C296" s="34">
        <v>282</v>
      </c>
      <c r="D296" s="1782" t="str">
        <f>IF('3A.Occpcy&amp;Rent'!$D296="","",VLOOKUP($C296,'3A.Occpcy&amp;Rent'!$C$15:$L$414,2,FALSE))</f>
        <v/>
      </c>
      <c r="E296" s="1783" t="str">
        <f>IF('3A.Occpcy&amp;Rent'!$D296="","",VLOOKUP($C296,'3A.Occpcy&amp;Rent'!$C$15:$L$414,3,FALSE))</f>
        <v/>
      </c>
      <c r="F296" s="1784" t="str">
        <f>IF('3A.Occpcy&amp;Rent'!$D296="","",VLOOKUP($C296,'3A.Occpcy&amp;Rent'!$C$15:$L$414,10,FALSE))</f>
        <v/>
      </c>
      <c r="G296" s="1785" t="str">
        <f>IF('3A.Occpcy&amp;Rent'!$D296="","",VLOOKUP($C296,'3A.Occpcy&amp;Rent'!$C$15:$L$414,5,FALSE))</f>
        <v/>
      </c>
      <c r="H296" s="1727"/>
      <c r="I296" s="1727"/>
      <c r="J296" s="1727"/>
      <c r="K296" s="1727"/>
      <c r="L296" s="1727"/>
      <c r="M296" s="1469"/>
      <c r="N296" s="1729"/>
      <c r="P296" s="1597">
        <f t="shared" si="12"/>
        <v>1</v>
      </c>
      <c r="Q296" s="1597">
        <f t="shared" si="14"/>
        <v>1</v>
      </c>
      <c r="R296">
        <f t="shared" si="13"/>
        <v>0</v>
      </c>
    </row>
    <row r="297" spans="3:18" ht="20.100000000000001" customHeight="1">
      <c r="C297" s="34">
        <v>283</v>
      </c>
      <c r="D297" s="1782" t="str">
        <f>IF('3A.Occpcy&amp;Rent'!$D297="","",VLOOKUP($C297,'3A.Occpcy&amp;Rent'!$C$15:$L$414,2,FALSE))</f>
        <v/>
      </c>
      <c r="E297" s="1783" t="str">
        <f>IF('3A.Occpcy&amp;Rent'!$D297="","",VLOOKUP($C297,'3A.Occpcy&amp;Rent'!$C$15:$L$414,3,FALSE))</f>
        <v/>
      </c>
      <c r="F297" s="1784" t="str">
        <f>IF('3A.Occpcy&amp;Rent'!$D297="","",VLOOKUP($C297,'3A.Occpcy&amp;Rent'!$C$15:$L$414,10,FALSE))</f>
        <v/>
      </c>
      <c r="G297" s="1785" t="str">
        <f>IF('3A.Occpcy&amp;Rent'!$D297="","",VLOOKUP($C297,'3A.Occpcy&amp;Rent'!$C$15:$L$414,5,FALSE))</f>
        <v/>
      </c>
      <c r="H297" s="1727"/>
      <c r="I297" s="1727"/>
      <c r="J297" s="1727"/>
      <c r="K297" s="1727"/>
      <c r="L297" s="1727"/>
      <c r="M297" s="1469"/>
      <c r="N297" s="1729"/>
      <c r="P297" s="1597">
        <f t="shared" si="12"/>
        <v>1</v>
      </c>
      <c r="Q297" s="1597">
        <f t="shared" si="14"/>
        <v>1</v>
      </c>
      <c r="R297">
        <f t="shared" si="13"/>
        <v>0</v>
      </c>
    </row>
    <row r="298" spans="3:18" ht="20.100000000000001" customHeight="1">
      <c r="C298" s="34">
        <v>284</v>
      </c>
      <c r="D298" s="1782" t="str">
        <f>IF('3A.Occpcy&amp;Rent'!$D298="","",VLOOKUP($C298,'3A.Occpcy&amp;Rent'!$C$15:$L$414,2,FALSE))</f>
        <v/>
      </c>
      <c r="E298" s="1783" t="str">
        <f>IF('3A.Occpcy&amp;Rent'!$D298="","",VLOOKUP($C298,'3A.Occpcy&amp;Rent'!$C$15:$L$414,3,FALSE))</f>
        <v/>
      </c>
      <c r="F298" s="1784" t="str">
        <f>IF('3A.Occpcy&amp;Rent'!$D298="","",VLOOKUP($C298,'3A.Occpcy&amp;Rent'!$C$15:$L$414,10,FALSE))</f>
        <v/>
      </c>
      <c r="G298" s="1785" t="str">
        <f>IF('3A.Occpcy&amp;Rent'!$D298="","",VLOOKUP($C298,'3A.Occpcy&amp;Rent'!$C$15:$L$414,5,FALSE))</f>
        <v/>
      </c>
      <c r="H298" s="1727"/>
      <c r="I298" s="1727"/>
      <c r="J298" s="1727"/>
      <c r="K298" s="1727"/>
      <c r="L298" s="1727"/>
      <c r="M298" s="1469"/>
      <c r="N298" s="1729"/>
      <c r="P298" s="1597">
        <f t="shared" si="12"/>
        <v>1</v>
      </c>
      <c r="Q298" s="1597">
        <f t="shared" si="14"/>
        <v>1</v>
      </c>
      <c r="R298">
        <f t="shared" si="13"/>
        <v>0</v>
      </c>
    </row>
    <row r="299" spans="3:18" ht="20.100000000000001" customHeight="1">
      <c r="C299" s="34">
        <v>285</v>
      </c>
      <c r="D299" s="1782" t="str">
        <f>IF('3A.Occpcy&amp;Rent'!$D299="","",VLOOKUP($C299,'3A.Occpcy&amp;Rent'!$C$15:$L$414,2,FALSE))</f>
        <v/>
      </c>
      <c r="E299" s="1783" t="str">
        <f>IF('3A.Occpcy&amp;Rent'!$D299="","",VLOOKUP($C299,'3A.Occpcy&amp;Rent'!$C$15:$L$414,3,FALSE))</f>
        <v/>
      </c>
      <c r="F299" s="1784" t="str">
        <f>IF('3A.Occpcy&amp;Rent'!$D299="","",VLOOKUP($C299,'3A.Occpcy&amp;Rent'!$C$15:$L$414,10,FALSE))</f>
        <v/>
      </c>
      <c r="G299" s="1785" t="str">
        <f>IF('3A.Occpcy&amp;Rent'!$D299="","",VLOOKUP($C299,'3A.Occpcy&amp;Rent'!$C$15:$L$414,5,FALSE))</f>
        <v/>
      </c>
      <c r="H299" s="1727"/>
      <c r="I299" s="1727"/>
      <c r="J299" s="1727"/>
      <c r="K299" s="1727"/>
      <c r="L299" s="1727"/>
      <c r="M299" s="1469"/>
      <c r="N299" s="1729"/>
      <c r="P299" s="1597">
        <f t="shared" si="12"/>
        <v>1</v>
      </c>
      <c r="Q299" s="1597">
        <f t="shared" si="14"/>
        <v>1</v>
      </c>
      <c r="R299">
        <f t="shared" si="13"/>
        <v>0</v>
      </c>
    </row>
    <row r="300" spans="3:18" ht="20.100000000000001" customHeight="1">
      <c r="C300" s="34">
        <v>286</v>
      </c>
      <c r="D300" s="1782" t="str">
        <f>IF('3A.Occpcy&amp;Rent'!$D300="","",VLOOKUP($C300,'3A.Occpcy&amp;Rent'!$C$15:$L$414,2,FALSE))</f>
        <v/>
      </c>
      <c r="E300" s="1783" t="str">
        <f>IF('3A.Occpcy&amp;Rent'!$D300="","",VLOOKUP($C300,'3A.Occpcy&amp;Rent'!$C$15:$L$414,3,FALSE))</f>
        <v/>
      </c>
      <c r="F300" s="1784" t="str">
        <f>IF('3A.Occpcy&amp;Rent'!$D300="","",VLOOKUP($C300,'3A.Occpcy&amp;Rent'!$C$15:$L$414,10,FALSE))</f>
        <v/>
      </c>
      <c r="G300" s="1785" t="str">
        <f>IF('3A.Occpcy&amp;Rent'!$D300="","",VLOOKUP($C300,'3A.Occpcy&amp;Rent'!$C$15:$L$414,5,FALSE))</f>
        <v/>
      </c>
      <c r="H300" s="1727"/>
      <c r="I300" s="1727"/>
      <c r="J300" s="1727"/>
      <c r="K300" s="1727"/>
      <c r="L300" s="1727"/>
      <c r="M300" s="1469"/>
      <c r="N300" s="1729"/>
      <c r="P300" s="1597">
        <f t="shared" si="12"/>
        <v>1</v>
      </c>
      <c r="Q300" s="1597">
        <f t="shared" si="14"/>
        <v>1</v>
      </c>
      <c r="R300">
        <f t="shared" si="13"/>
        <v>0</v>
      </c>
    </row>
    <row r="301" spans="3:18" ht="20.100000000000001" customHeight="1">
      <c r="C301" s="34">
        <v>287</v>
      </c>
      <c r="D301" s="1782" t="str">
        <f>IF('3A.Occpcy&amp;Rent'!$D301="","",VLOOKUP($C301,'3A.Occpcy&amp;Rent'!$C$15:$L$414,2,FALSE))</f>
        <v/>
      </c>
      <c r="E301" s="1783" t="str">
        <f>IF('3A.Occpcy&amp;Rent'!$D301="","",VLOOKUP($C301,'3A.Occpcy&amp;Rent'!$C$15:$L$414,3,FALSE))</f>
        <v/>
      </c>
      <c r="F301" s="1784" t="str">
        <f>IF('3A.Occpcy&amp;Rent'!$D301="","",VLOOKUP($C301,'3A.Occpcy&amp;Rent'!$C$15:$L$414,10,FALSE))</f>
        <v/>
      </c>
      <c r="G301" s="1785" t="str">
        <f>IF('3A.Occpcy&amp;Rent'!$D301="","",VLOOKUP($C301,'3A.Occpcy&amp;Rent'!$C$15:$L$414,5,FALSE))</f>
        <v/>
      </c>
      <c r="H301" s="1727"/>
      <c r="I301" s="1727"/>
      <c r="J301" s="1727"/>
      <c r="K301" s="1727"/>
      <c r="L301" s="1727"/>
      <c r="M301" s="1469"/>
      <c r="N301" s="1729"/>
      <c r="P301" s="1597">
        <f t="shared" si="12"/>
        <v>1</v>
      </c>
      <c r="Q301" s="1597">
        <f t="shared" si="14"/>
        <v>1</v>
      </c>
      <c r="R301">
        <f t="shared" si="13"/>
        <v>0</v>
      </c>
    </row>
    <row r="302" spans="3:18" ht="20.100000000000001" customHeight="1">
      <c r="C302" s="34">
        <v>288</v>
      </c>
      <c r="D302" s="1782" t="str">
        <f>IF('3A.Occpcy&amp;Rent'!$D302="","",VLOOKUP($C302,'3A.Occpcy&amp;Rent'!$C$15:$L$414,2,FALSE))</f>
        <v/>
      </c>
      <c r="E302" s="1783" t="str">
        <f>IF('3A.Occpcy&amp;Rent'!$D302="","",VLOOKUP($C302,'3A.Occpcy&amp;Rent'!$C$15:$L$414,3,FALSE))</f>
        <v/>
      </c>
      <c r="F302" s="1784" t="str">
        <f>IF('3A.Occpcy&amp;Rent'!$D302="","",VLOOKUP($C302,'3A.Occpcy&amp;Rent'!$C$15:$L$414,10,FALSE))</f>
        <v/>
      </c>
      <c r="G302" s="1785" t="str">
        <f>IF('3A.Occpcy&amp;Rent'!$D302="","",VLOOKUP($C302,'3A.Occpcy&amp;Rent'!$C$15:$L$414,5,FALSE))</f>
        <v/>
      </c>
      <c r="H302" s="1727"/>
      <c r="I302" s="1727"/>
      <c r="J302" s="1727"/>
      <c r="K302" s="1727"/>
      <c r="L302" s="1727"/>
      <c r="M302" s="1469"/>
      <c r="N302" s="1729"/>
      <c r="P302" s="1597">
        <f t="shared" si="12"/>
        <v>1</v>
      </c>
      <c r="Q302" s="1597">
        <f t="shared" si="14"/>
        <v>1</v>
      </c>
      <c r="R302">
        <f t="shared" si="13"/>
        <v>0</v>
      </c>
    </row>
    <row r="303" spans="3:18" ht="20.100000000000001" customHeight="1">
      <c r="C303" s="34">
        <v>289</v>
      </c>
      <c r="D303" s="1782" t="str">
        <f>IF('3A.Occpcy&amp;Rent'!$D303="","",VLOOKUP($C303,'3A.Occpcy&amp;Rent'!$C$15:$L$414,2,FALSE))</f>
        <v/>
      </c>
      <c r="E303" s="1783" t="str">
        <f>IF('3A.Occpcy&amp;Rent'!$D303="","",VLOOKUP($C303,'3A.Occpcy&amp;Rent'!$C$15:$L$414,3,FALSE))</f>
        <v/>
      </c>
      <c r="F303" s="1784" t="str">
        <f>IF('3A.Occpcy&amp;Rent'!$D303="","",VLOOKUP($C303,'3A.Occpcy&amp;Rent'!$C$15:$L$414,10,FALSE))</f>
        <v/>
      </c>
      <c r="G303" s="1785" t="str">
        <f>IF('3A.Occpcy&amp;Rent'!$D303="","",VLOOKUP($C303,'3A.Occpcy&amp;Rent'!$C$15:$L$414,5,FALSE))</f>
        <v/>
      </c>
      <c r="H303" s="1727"/>
      <c r="I303" s="1727"/>
      <c r="J303" s="1727"/>
      <c r="K303" s="1727"/>
      <c r="L303" s="1727"/>
      <c r="M303" s="1469"/>
      <c r="N303" s="1729"/>
      <c r="P303" s="1597">
        <f t="shared" si="12"/>
        <v>1</v>
      </c>
      <c r="Q303" s="1597">
        <f t="shared" si="14"/>
        <v>1</v>
      </c>
      <c r="R303">
        <f t="shared" si="13"/>
        <v>0</v>
      </c>
    </row>
    <row r="304" spans="3:18" ht="20.100000000000001" customHeight="1">
      <c r="C304" s="34">
        <v>290</v>
      </c>
      <c r="D304" s="1782" t="str">
        <f>IF('3A.Occpcy&amp;Rent'!$D304="","",VLOOKUP($C304,'3A.Occpcy&amp;Rent'!$C$15:$L$414,2,FALSE))</f>
        <v/>
      </c>
      <c r="E304" s="1783" t="str">
        <f>IF('3A.Occpcy&amp;Rent'!$D304="","",VLOOKUP($C304,'3A.Occpcy&amp;Rent'!$C$15:$L$414,3,FALSE))</f>
        <v/>
      </c>
      <c r="F304" s="1784" t="str">
        <f>IF('3A.Occpcy&amp;Rent'!$D304="","",VLOOKUP($C304,'3A.Occpcy&amp;Rent'!$C$15:$L$414,10,FALSE))</f>
        <v/>
      </c>
      <c r="G304" s="1785" t="str">
        <f>IF('3A.Occpcy&amp;Rent'!$D304="","",VLOOKUP($C304,'3A.Occpcy&amp;Rent'!$C$15:$L$414,5,FALSE))</f>
        <v/>
      </c>
      <c r="H304" s="1727"/>
      <c r="I304" s="1727"/>
      <c r="J304" s="1727"/>
      <c r="K304" s="1727"/>
      <c r="L304" s="1727"/>
      <c r="M304" s="1469"/>
      <c r="N304" s="1729"/>
      <c r="P304" s="1597">
        <f t="shared" si="12"/>
        <v>1</v>
      </c>
      <c r="Q304" s="1597">
        <f t="shared" si="14"/>
        <v>1</v>
      </c>
      <c r="R304">
        <f t="shared" si="13"/>
        <v>0</v>
      </c>
    </row>
    <row r="305" spans="3:18" ht="20.100000000000001" customHeight="1">
      <c r="C305" s="34">
        <v>291</v>
      </c>
      <c r="D305" s="1782" t="str">
        <f>IF('3A.Occpcy&amp;Rent'!$D305="","",VLOOKUP($C305,'3A.Occpcy&amp;Rent'!$C$15:$L$414,2,FALSE))</f>
        <v/>
      </c>
      <c r="E305" s="1783" t="str">
        <f>IF('3A.Occpcy&amp;Rent'!$D305="","",VLOOKUP($C305,'3A.Occpcy&amp;Rent'!$C$15:$L$414,3,FALSE))</f>
        <v/>
      </c>
      <c r="F305" s="1784" t="str">
        <f>IF('3A.Occpcy&amp;Rent'!$D305="","",VLOOKUP($C305,'3A.Occpcy&amp;Rent'!$C$15:$L$414,10,FALSE))</f>
        <v/>
      </c>
      <c r="G305" s="1785" t="str">
        <f>IF('3A.Occpcy&amp;Rent'!$D305="","",VLOOKUP($C305,'3A.Occpcy&amp;Rent'!$C$15:$L$414,5,FALSE))</f>
        <v/>
      </c>
      <c r="H305" s="1727"/>
      <c r="I305" s="1727"/>
      <c r="J305" s="1727"/>
      <c r="K305" s="1727"/>
      <c r="L305" s="1727"/>
      <c r="M305" s="1469"/>
      <c r="N305" s="1729"/>
      <c r="P305" s="1597">
        <f t="shared" si="12"/>
        <v>1</v>
      </c>
      <c r="Q305" s="1597">
        <f t="shared" si="14"/>
        <v>1</v>
      </c>
      <c r="R305">
        <f t="shared" si="13"/>
        <v>0</v>
      </c>
    </row>
    <row r="306" spans="3:18" ht="20.100000000000001" customHeight="1">
      <c r="C306" s="34">
        <v>292</v>
      </c>
      <c r="D306" s="1782" t="str">
        <f>IF('3A.Occpcy&amp;Rent'!$D306="","",VLOOKUP($C306,'3A.Occpcy&amp;Rent'!$C$15:$L$414,2,FALSE))</f>
        <v/>
      </c>
      <c r="E306" s="1783" t="str">
        <f>IF('3A.Occpcy&amp;Rent'!$D306="","",VLOOKUP($C306,'3A.Occpcy&amp;Rent'!$C$15:$L$414,3,FALSE))</f>
        <v/>
      </c>
      <c r="F306" s="1784" t="str">
        <f>IF('3A.Occpcy&amp;Rent'!$D306="","",VLOOKUP($C306,'3A.Occpcy&amp;Rent'!$C$15:$L$414,10,FALSE))</f>
        <v/>
      </c>
      <c r="G306" s="1785" t="str">
        <f>IF('3A.Occpcy&amp;Rent'!$D306="","",VLOOKUP($C306,'3A.Occpcy&amp;Rent'!$C$15:$L$414,5,FALSE))</f>
        <v/>
      </c>
      <c r="H306" s="1727"/>
      <c r="I306" s="1727"/>
      <c r="J306" s="1727"/>
      <c r="K306" s="1727"/>
      <c r="L306" s="1727"/>
      <c r="M306" s="1469"/>
      <c r="N306" s="1729"/>
      <c r="P306" s="1597">
        <f t="shared" si="12"/>
        <v>1</v>
      </c>
      <c r="Q306" s="1597">
        <f t="shared" si="14"/>
        <v>1</v>
      </c>
      <c r="R306">
        <f t="shared" si="13"/>
        <v>0</v>
      </c>
    </row>
    <row r="307" spans="3:18" ht="20.100000000000001" customHeight="1">
      <c r="C307" s="34">
        <v>293</v>
      </c>
      <c r="D307" s="1782" t="str">
        <f>IF('3A.Occpcy&amp;Rent'!$D307="","",VLOOKUP($C307,'3A.Occpcy&amp;Rent'!$C$15:$L$414,2,FALSE))</f>
        <v/>
      </c>
      <c r="E307" s="1783" t="str">
        <f>IF('3A.Occpcy&amp;Rent'!$D307="","",VLOOKUP($C307,'3A.Occpcy&amp;Rent'!$C$15:$L$414,3,FALSE))</f>
        <v/>
      </c>
      <c r="F307" s="1784" t="str">
        <f>IF('3A.Occpcy&amp;Rent'!$D307="","",VLOOKUP($C307,'3A.Occpcy&amp;Rent'!$C$15:$L$414,10,FALSE))</f>
        <v/>
      </c>
      <c r="G307" s="1785" t="str">
        <f>IF('3A.Occpcy&amp;Rent'!$D307="","",VLOOKUP($C307,'3A.Occpcy&amp;Rent'!$C$15:$L$414,5,FALSE))</f>
        <v/>
      </c>
      <c r="H307" s="1727"/>
      <c r="I307" s="1727"/>
      <c r="J307" s="1727"/>
      <c r="K307" s="1727"/>
      <c r="L307" s="1727"/>
      <c r="M307" s="1469"/>
      <c r="N307" s="1729"/>
      <c r="P307" s="1597">
        <f t="shared" si="12"/>
        <v>1</v>
      </c>
      <c r="Q307" s="1597">
        <f t="shared" si="14"/>
        <v>1</v>
      </c>
      <c r="R307">
        <f t="shared" si="13"/>
        <v>0</v>
      </c>
    </row>
    <row r="308" spans="3:18" ht="20.100000000000001" customHeight="1">
      <c r="C308" s="34">
        <v>294</v>
      </c>
      <c r="D308" s="1782" t="str">
        <f>IF('3A.Occpcy&amp;Rent'!$D308="","",VLOOKUP($C308,'3A.Occpcy&amp;Rent'!$C$15:$L$414,2,FALSE))</f>
        <v/>
      </c>
      <c r="E308" s="1783" t="str">
        <f>IF('3A.Occpcy&amp;Rent'!$D308="","",VLOOKUP($C308,'3A.Occpcy&amp;Rent'!$C$15:$L$414,3,FALSE))</f>
        <v/>
      </c>
      <c r="F308" s="1784" t="str">
        <f>IF('3A.Occpcy&amp;Rent'!$D308="","",VLOOKUP($C308,'3A.Occpcy&amp;Rent'!$C$15:$L$414,10,FALSE))</f>
        <v/>
      </c>
      <c r="G308" s="1785" t="str">
        <f>IF('3A.Occpcy&amp;Rent'!$D308="","",VLOOKUP($C308,'3A.Occpcy&amp;Rent'!$C$15:$L$414,5,FALSE))</f>
        <v/>
      </c>
      <c r="H308" s="1727"/>
      <c r="I308" s="1727"/>
      <c r="J308" s="1727"/>
      <c r="K308" s="1727"/>
      <c r="L308" s="1727"/>
      <c r="M308" s="1469"/>
      <c r="N308" s="1729"/>
      <c r="P308" s="1597">
        <f t="shared" si="12"/>
        <v>1</v>
      </c>
      <c r="Q308" s="1597">
        <f t="shared" si="14"/>
        <v>1</v>
      </c>
      <c r="R308">
        <f t="shared" si="13"/>
        <v>0</v>
      </c>
    </row>
    <row r="309" spans="3:18" ht="20.100000000000001" customHeight="1">
      <c r="C309" s="34">
        <v>295</v>
      </c>
      <c r="D309" s="1782" t="str">
        <f>IF('3A.Occpcy&amp;Rent'!$D309="","",VLOOKUP($C309,'3A.Occpcy&amp;Rent'!$C$15:$L$414,2,FALSE))</f>
        <v/>
      </c>
      <c r="E309" s="1783" t="str">
        <f>IF('3A.Occpcy&amp;Rent'!$D309="","",VLOOKUP($C309,'3A.Occpcy&amp;Rent'!$C$15:$L$414,3,FALSE))</f>
        <v/>
      </c>
      <c r="F309" s="1784" t="str">
        <f>IF('3A.Occpcy&amp;Rent'!$D309="","",VLOOKUP($C309,'3A.Occpcy&amp;Rent'!$C$15:$L$414,10,FALSE))</f>
        <v/>
      </c>
      <c r="G309" s="1785" t="str">
        <f>IF('3A.Occpcy&amp;Rent'!$D309="","",VLOOKUP($C309,'3A.Occpcy&amp;Rent'!$C$15:$L$414,5,FALSE))</f>
        <v/>
      </c>
      <c r="H309" s="1727"/>
      <c r="I309" s="1727"/>
      <c r="J309" s="1727"/>
      <c r="K309" s="1727"/>
      <c r="L309" s="1727"/>
      <c r="M309" s="1469"/>
      <c r="N309" s="1729"/>
      <c r="P309" s="1597">
        <f t="shared" si="12"/>
        <v>1</v>
      </c>
      <c r="Q309" s="1597">
        <f t="shared" si="14"/>
        <v>1</v>
      </c>
      <c r="R309">
        <f t="shared" si="13"/>
        <v>0</v>
      </c>
    </row>
    <row r="310" spans="3:18" ht="20.100000000000001" customHeight="1">
      <c r="C310" s="34">
        <v>296</v>
      </c>
      <c r="D310" s="1782" t="str">
        <f>IF('3A.Occpcy&amp;Rent'!$D310="","",VLOOKUP($C310,'3A.Occpcy&amp;Rent'!$C$15:$L$414,2,FALSE))</f>
        <v/>
      </c>
      <c r="E310" s="1783" t="str">
        <f>IF('3A.Occpcy&amp;Rent'!$D310="","",VLOOKUP($C310,'3A.Occpcy&amp;Rent'!$C$15:$L$414,3,FALSE))</f>
        <v/>
      </c>
      <c r="F310" s="1784" t="str">
        <f>IF('3A.Occpcy&amp;Rent'!$D310="","",VLOOKUP($C310,'3A.Occpcy&amp;Rent'!$C$15:$L$414,10,FALSE))</f>
        <v/>
      </c>
      <c r="G310" s="1785" t="str">
        <f>IF('3A.Occpcy&amp;Rent'!$D310="","",VLOOKUP($C310,'3A.Occpcy&amp;Rent'!$C$15:$L$414,5,FALSE))</f>
        <v/>
      </c>
      <c r="H310" s="1727"/>
      <c r="I310" s="1727"/>
      <c r="J310" s="1727"/>
      <c r="K310" s="1727"/>
      <c r="L310" s="1727"/>
      <c r="M310" s="1469"/>
      <c r="N310" s="1729"/>
      <c r="P310" s="1597">
        <f t="shared" si="12"/>
        <v>1</v>
      </c>
      <c r="Q310" s="1597">
        <f t="shared" si="14"/>
        <v>1</v>
      </c>
      <c r="R310">
        <f t="shared" si="13"/>
        <v>0</v>
      </c>
    </row>
    <row r="311" spans="3:18" ht="20.100000000000001" customHeight="1">
      <c r="C311" s="34">
        <v>297</v>
      </c>
      <c r="D311" s="1782" t="str">
        <f>IF('3A.Occpcy&amp;Rent'!$D311="","",VLOOKUP($C311,'3A.Occpcy&amp;Rent'!$C$15:$L$414,2,FALSE))</f>
        <v/>
      </c>
      <c r="E311" s="1783" t="str">
        <f>IF('3A.Occpcy&amp;Rent'!$D311="","",VLOOKUP($C311,'3A.Occpcy&amp;Rent'!$C$15:$L$414,3,FALSE))</f>
        <v/>
      </c>
      <c r="F311" s="1784" t="str">
        <f>IF('3A.Occpcy&amp;Rent'!$D311="","",VLOOKUP($C311,'3A.Occpcy&amp;Rent'!$C$15:$L$414,10,FALSE))</f>
        <v/>
      </c>
      <c r="G311" s="1785" t="str">
        <f>IF('3A.Occpcy&amp;Rent'!$D311="","",VLOOKUP($C311,'3A.Occpcy&amp;Rent'!$C$15:$L$414,5,FALSE))</f>
        <v/>
      </c>
      <c r="H311" s="1727"/>
      <c r="I311" s="1727"/>
      <c r="J311" s="1727"/>
      <c r="K311" s="1727"/>
      <c r="L311" s="1727"/>
      <c r="M311" s="1469"/>
      <c r="N311" s="1729"/>
      <c r="P311" s="1597">
        <f t="shared" si="12"/>
        <v>1</v>
      </c>
      <c r="Q311" s="1597">
        <f t="shared" si="14"/>
        <v>1</v>
      </c>
      <c r="R311">
        <f t="shared" si="13"/>
        <v>0</v>
      </c>
    </row>
    <row r="312" spans="3:18" ht="20.100000000000001" customHeight="1">
      <c r="C312" s="34">
        <v>298</v>
      </c>
      <c r="D312" s="1782" t="str">
        <f>IF('3A.Occpcy&amp;Rent'!$D312="","",VLOOKUP($C312,'3A.Occpcy&amp;Rent'!$C$15:$L$414,2,FALSE))</f>
        <v/>
      </c>
      <c r="E312" s="1783" t="str">
        <f>IF('3A.Occpcy&amp;Rent'!$D312="","",VLOOKUP($C312,'3A.Occpcy&amp;Rent'!$C$15:$L$414,3,FALSE))</f>
        <v/>
      </c>
      <c r="F312" s="1784" t="str">
        <f>IF('3A.Occpcy&amp;Rent'!$D312="","",VLOOKUP($C312,'3A.Occpcy&amp;Rent'!$C$15:$L$414,10,FALSE))</f>
        <v/>
      </c>
      <c r="G312" s="1785" t="str">
        <f>IF('3A.Occpcy&amp;Rent'!$D312="","",VLOOKUP($C312,'3A.Occpcy&amp;Rent'!$C$15:$L$414,5,FALSE))</f>
        <v/>
      </c>
      <c r="H312" s="1727"/>
      <c r="I312" s="1727"/>
      <c r="J312" s="1727"/>
      <c r="K312" s="1727"/>
      <c r="L312" s="1727"/>
      <c r="M312" s="1469"/>
      <c r="N312" s="1729"/>
      <c r="P312" s="1597">
        <f t="shared" si="12"/>
        <v>1</v>
      </c>
      <c r="Q312" s="1597">
        <f t="shared" si="14"/>
        <v>1</v>
      </c>
      <c r="R312">
        <f t="shared" si="13"/>
        <v>0</v>
      </c>
    </row>
    <row r="313" spans="3:18" ht="20.100000000000001" customHeight="1">
      <c r="C313" s="34">
        <v>299</v>
      </c>
      <c r="D313" s="1782" t="str">
        <f>IF('3A.Occpcy&amp;Rent'!$D313="","",VLOOKUP($C313,'3A.Occpcy&amp;Rent'!$C$15:$L$414,2,FALSE))</f>
        <v/>
      </c>
      <c r="E313" s="1783" t="str">
        <f>IF('3A.Occpcy&amp;Rent'!$D313="","",VLOOKUP($C313,'3A.Occpcy&amp;Rent'!$C$15:$L$414,3,FALSE))</f>
        <v/>
      </c>
      <c r="F313" s="1784" t="str">
        <f>IF('3A.Occpcy&amp;Rent'!$D313="","",VLOOKUP($C313,'3A.Occpcy&amp;Rent'!$C$15:$L$414,10,FALSE))</f>
        <v/>
      </c>
      <c r="G313" s="1785" t="str">
        <f>IF('3A.Occpcy&amp;Rent'!$D313="","",VLOOKUP($C313,'3A.Occpcy&amp;Rent'!$C$15:$L$414,5,FALSE))</f>
        <v/>
      </c>
      <c r="H313" s="1727"/>
      <c r="I313" s="1727"/>
      <c r="J313" s="1727"/>
      <c r="K313" s="1727"/>
      <c r="L313" s="1727"/>
      <c r="M313" s="1469"/>
      <c r="N313" s="1729"/>
      <c r="P313" s="1597">
        <f t="shared" si="12"/>
        <v>1</v>
      </c>
      <c r="Q313" s="1597">
        <f t="shared" si="14"/>
        <v>1</v>
      </c>
      <c r="R313">
        <f t="shared" si="13"/>
        <v>0</v>
      </c>
    </row>
    <row r="314" spans="3:18" ht="20.100000000000001" customHeight="1">
      <c r="C314" s="34">
        <v>300</v>
      </c>
      <c r="D314" s="1782" t="str">
        <f>IF('3A.Occpcy&amp;Rent'!$D314="","",VLOOKUP($C314,'3A.Occpcy&amp;Rent'!$C$15:$L$414,2,FALSE))</f>
        <v/>
      </c>
      <c r="E314" s="1783" t="str">
        <f>IF('3A.Occpcy&amp;Rent'!$D314="","",VLOOKUP($C314,'3A.Occpcy&amp;Rent'!$C$15:$L$414,3,FALSE))</f>
        <v/>
      </c>
      <c r="F314" s="1784" t="str">
        <f>IF('3A.Occpcy&amp;Rent'!$D314="","",VLOOKUP($C314,'3A.Occpcy&amp;Rent'!$C$15:$L$414,10,FALSE))</f>
        <v/>
      </c>
      <c r="G314" s="1785" t="str">
        <f>IF('3A.Occpcy&amp;Rent'!$D314="","",VLOOKUP($C314,'3A.Occpcy&amp;Rent'!$C$15:$L$414,5,FALSE))</f>
        <v/>
      </c>
      <c r="H314" s="1727"/>
      <c r="I314" s="1727"/>
      <c r="J314" s="1727"/>
      <c r="K314" s="1727"/>
      <c r="L314" s="1727"/>
      <c r="M314" s="1469"/>
      <c r="N314" s="1729"/>
      <c r="P314" s="1597">
        <f t="shared" si="12"/>
        <v>1</v>
      </c>
      <c r="Q314" s="1597">
        <f t="shared" si="14"/>
        <v>1</v>
      </c>
      <c r="R314">
        <f t="shared" si="13"/>
        <v>0</v>
      </c>
    </row>
    <row r="315" spans="3:18" ht="20.100000000000001" customHeight="1">
      <c r="C315" s="34">
        <v>301</v>
      </c>
      <c r="D315" s="1782" t="str">
        <f>IF('3A.Occpcy&amp;Rent'!$D315="","",VLOOKUP($C315,'3A.Occpcy&amp;Rent'!$C$15:$L$414,2,FALSE))</f>
        <v/>
      </c>
      <c r="E315" s="1783" t="str">
        <f>IF('3A.Occpcy&amp;Rent'!$D315="","",VLOOKUP($C315,'3A.Occpcy&amp;Rent'!$C$15:$L$414,3,FALSE))</f>
        <v/>
      </c>
      <c r="F315" s="1784" t="str">
        <f>IF('3A.Occpcy&amp;Rent'!$D315="","",VLOOKUP($C315,'3A.Occpcy&amp;Rent'!$C$15:$L$414,10,FALSE))</f>
        <v/>
      </c>
      <c r="G315" s="1785" t="str">
        <f>IF('3A.Occpcy&amp;Rent'!$D315="","",VLOOKUP($C315,'3A.Occpcy&amp;Rent'!$C$15:$L$414,5,FALSE))</f>
        <v/>
      </c>
      <c r="H315" s="1727"/>
      <c r="I315" s="1727"/>
      <c r="J315" s="1727"/>
      <c r="K315" s="1727"/>
      <c r="L315" s="1727"/>
      <c r="M315" s="1469"/>
      <c r="N315" s="1729"/>
      <c r="P315" s="1597">
        <f t="shared" si="12"/>
        <v>1</v>
      </c>
      <c r="Q315" s="1597">
        <f t="shared" si="14"/>
        <v>1</v>
      </c>
      <c r="R315">
        <f t="shared" si="13"/>
        <v>0</v>
      </c>
    </row>
    <row r="316" spans="3:18" ht="20.100000000000001" customHeight="1">
      <c r="C316" s="34">
        <v>302</v>
      </c>
      <c r="D316" s="1782" t="str">
        <f>IF('3A.Occpcy&amp;Rent'!$D316="","",VLOOKUP($C316,'3A.Occpcy&amp;Rent'!$C$15:$L$414,2,FALSE))</f>
        <v/>
      </c>
      <c r="E316" s="1783" t="str">
        <f>IF('3A.Occpcy&amp;Rent'!$D316="","",VLOOKUP($C316,'3A.Occpcy&amp;Rent'!$C$15:$L$414,3,FALSE))</f>
        <v/>
      </c>
      <c r="F316" s="1784" t="str">
        <f>IF('3A.Occpcy&amp;Rent'!$D316="","",VLOOKUP($C316,'3A.Occpcy&amp;Rent'!$C$15:$L$414,10,FALSE))</f>
        <v/>
      </c>
      <c r="G316" s="1785" t="str">
        <f>IF('3A.Occpcy&amp;Rent'!$D316="","",VLOOKUP($C316,'3A.Occpcy&amp;Rent'!$C$15:$L$414,5,FALSE))</f>
        <v/>
      </c>
      <c r="H316" s="1727"/>
      <c r="I316" s="1727"/>
      <c r="J316" s="1727"/>
      <c r="K316" s="1727"/>
      <c r="L316" s="1727"/>
      <c r="M316" s="1469"/>
      <c r="N316" s="1729"/>
      <c r="P316" s="1597">
        <f t="shared" si="12"/>
        <v>1</v>
      </c>
      <c r="Q316" s="1597">
        <f t="shared" si="14"/>
        <v>1</v>
      </c>
      <c r="R316">
        <f t="shared" si="13"/>
        <v>0</v>
      </c>
    </row>
    <row r="317" spans="3:18" ht="20.100000000000001" customHeight="1">
      <c r="C317" s="34">
        <v>303</v>
      </c>
      <c r="D317" s="1782" t="str">
        <f>IF('3A.Occpcy&amp;Rent'!$D317="","",VLOOKUP($C317,'3A.Occpcy&amp;Rent'!$C$15:$L$414,2,FALSE))</f>
        <v/>
      </c>
      <c r="E317" s="1783" t="str">
        <f>IF('3A.Occpcy&amp;Rent'!$D317="","",VLOOKUP($C317,'3A.Occpcy&amp;Rent'!$C$15:$L$414,3,FALSE))</f>
        <v/>
      </c>
      <c r="F317" s="1784" t="str">
        <f>IF('3A.Occpcy&amp;Rent'!$D317="","",VLOOKUP($C317,'3A.Occpcy&amp;Rent'!$C$15:$L$414,10,FALSE))</f>
        <v/>
      </c>
      <c r="G317" s="1785" t="str">
        <f>IF('3A.Occpcy&amp;Rent'!$D317="","",VLOOKUP($C317,'3A.Occpcy&amp;Rent'!$C$15:$L$414,5,FALSE))</f>
        <v/>
      </c>
      <c r="H317" s="1727"/>
      <c r="I317" s="1727"/>
      <c r="J317" s="1727"/>
      <c r="K317" s="1727"/>
      <c r="L317" s="1727"/>
      <c r="M317" s="1469"/>
      <c r="N317" s="1729"/>
      <c r="P317" s="1597">
        <f t="shared" si="12"/>
        <v>1</v>
      </c>
      <c r="Q317" s="1597">
        <f t="shared" si="14"/>
        <v>1</v>
      </c>
      <c r="R317">
        <f t="shared" si="13"/>
        <v>0</v>
      </c>
    </row>
    <row r="318" spans="3:18" ht="20.100000000000001" customHeight="1">
      <c r="C318" s="34">
        <v>304</v>
      </c>
      <c r="D318" s="1782" t="str">
        <f>IF('3A.Occpcy&amp;Rent'!$D318="","",VLOOKUP($C318,'3A.Occpcy&amp;Rent'!$C$15:$L$414,2,FALSE))</f>
        <v/>
      </c>
      <c r="E318" s="1783" t="str">
        <f>IF('3A.Occpcy&amp;Rent'!$D318="","",VLOOKUP($C318,'3A.Occpcy&amp;Rent'!$C$15:$L$414,3,FALSE))</f>
        <v/>
      </c>
      <c r="F318" s="1784" t="str">
        <f>IF('3A.Occpcy&amp;Rent'!$D318="","",VLOOKUP($C318,'3A.Occpcy&amp;Rent'!$C$15:$L$414,10,FALSE))</f>
        <v/>
      </c>
      <c r="G318" s="1785" t="str">
        <f>IF('3A.Occpcy&amp;Rent'!$D318="","",VLOOKUP($C318,'3A.Occpcy&amp;Rent'!$C$15:$L$414,5,FALSE))</f>
        <v/>
      </c>
      <c r="H318" s="1727"/>
      <c r="I318" s="1727"/>
      <c r="J318" s="1727"/>
      <c r="K318" s="1727"/>
      <c r="L318" s="1727"/>
      <c r="M318" s="1469"/>
      <c r="N318" s="1729"/>
      <c r="P318" s="1597">
        <f t="shared" si="12"/>
        <v>1</v>
      </c>
      <c r="Q318" s="1597">
        <f t="shared" si="14"/>
        <v>1</v>
      </c>
      <c r="R318">
        <f t="shared" si="13"/>
        <v>0</v>
      </c>
    </row>
    <row r="319" spans="3:18" ht="20.100000000000001" customHeight="1">
      <c r="C319" s="34">
        <v>305</v>
      </c>
      <c r="D319" s="1782" t="str">
        <f>IF('3A.Occpcy&amp;Rent'!$D319="","",VLOOKUP($C319,'3A.Occpcy&amp;Rent'!$C$15:$L$414,2,FALSE))</f>
        <v/>
      </c>
      <c r="E319" s="1783" t="str">
        <f>IF('3A.Occpcy&amp;Rent'!$D319="","",VLOOKUP($C319,'3A.Occpcy&amp;Rent'!$C$15:$L$414,3,FALSE))</f>
        <v/>
      </c>
      <c r="F319" s="1784" t="str">
        <f>IF('3A.Occpcy&amp;Rent'!$D319="","",VLOOKUP($C319,'3A.Occpcy&amp;Rent'!$C$15:$L$414,10,FALSE))</f>
        <v/>
      </c>
      <c r="G319" s="1785" t="str">
        <f>IF('3A.Occpcy&amp;Rent'!$D319="","",VLOOKUP($C319,'3A.Occpcy&amp;Rent'!$C$15:$L$414,5,FALSE))</f>
        <v/>
      </c>
      <c r="H319" s="1727"/>
      <c r="I319" s="1727"/>
      <c r="J319" s="1727"/>
      <c r="K319" s="1727"/>
      <c r="L319" s="1727"/>
      <c r="M319" s="1469"/>
      <c r="N319" s="1729"/>
      <c r="P319" s="1597">
        <f t="shared" si="12"/>
        <v>1</v>
      </c>
      <c r="Q319" s="1597">
        <f t="shared" si="14"/>
        <v>1</v>
      </c>
      <c r="R319">
        <f t="shared" si="13"/>
        <v>0</v>
      </c>
    </row>
    <row r="320" spans="3:18" ht="20.100000000000001" customHeight="1">
      <c r="C320" s="34">
        <v>306</v>
      </c>
      <c r="D320" s="1782" t="str">
        <f>IF('3A.Occpcy&amp;Rent'!$D320="","",VLOOKUP($C320,'3A.Occpcy&amp;Rent'!$C$15:$L$414,2,FALSE))</f>
        <v/>
      </c>
      <c r="E320" s="1783" t="str">
        <f>IF('3A.Occpcy&amp;Rent'!$D320="","",VLOOKUP($C320,'3A.Occpcy&amp;Rent'!$C$15:$L$414,3,FALSE))</f>
        <v/>
      </c>
      <c r="F320" s="1784" t="str">
        <f>IF('3A.Occpcy&amp;Rent'!$D320="","",VLOOKUP($C320,'3A.Occpcy&amp;Rent'!$C$15:$L$414,10,FALSE))</f>
        <v/>
      </c>
      <c r="G320" s="1785" t="str">
        <f>IF('3A.Occpcy&amp;Rent'!$D320="","",VLOOKUP($C320,'3A.Occpcy&amp;Rent'!$C$15:$L$414,5,FALSE))</f>
        <v/>
      </c>
      <c r="H320" s="1727"/>
      <c r="I320" s="1727"/>
      <c r="J320" s="1727"/>
      <c r="K320" s="1727"/>
      <c r="L320" s="1727"/>
      <c r="M320" s="1469"/>
      <c r="N320" s="1729"/>
      <c r="P320" s="1597">
        <f t="shared" si="12"/>
        <v>1</v>
      </c>
      <c r="Q320" s="1597">
        <f t="shared" si="14"/>
        <v>1</v>
      </c>
      <c r="R320">
        <f t="shared" si="13"/>
        <v>0</v>
      </c>
    </row>
    <row r="321" spans="3:18" ht="20.100000000000001" customHeight="1">
      <c r="C321" s="34">
        <v>307</v>
      </c>
      <c r="D321" s="1782" t="str">
        <f>IF('3A.Occpcy&amp;Rent'!$D321="","",VLOOKUP($C321,'3A.Occpcy&amp;Rent'!$C$15:$L$414,2,FALSE))</f>
        <v/>
      </c>
      <c r="E321" s="1783" t="str">
        <f>IF('3A.Occpcy&amp;Rent'!$D321="","",VLOOKUP($C321,'3A.Occpcy&amp;Rent'!$C$15:$L$414,3,FALSE))</f>
        <v/>
      </c>
      <c r="F321" s="1784" t="str">
        <f>IF('3A.Occpcy&amp;Rent'!$D321="","",VLOOKUP($C321,'3A.Occpcy&amp;Rent'!$C$15:$L$414,10,FALSE))</f>
        <v/>
      </c>
      <c r="G321" s="1785" t="str">
        <f>IF('3A.Occpcy&amp;Rent'!$D321="","",VLOOKUP($C321,'3A.Occpcy&amp;Rent'!$C$15:$L$414,5,FALSE))</f>
        <v/>
      </c>
      <c r="H321" s="1727"/>
      <c r="I321" s="1727"/>
      <c r="J321" s="1727"/>
      <c r="K321" s="1727"/>
      <c r="L321" s="1727"/>
      <c r="M321" s="1469"/>
      <c r="N321" s="1729"/>
      <c r="P321" s="1597">
        <f t="shared" si="12"/>
        <v>1</v>
      </c>
      <c r="Q321" s="1597">
        <f t="shared" si="14"/>
        <v>1</v>
      </c>
      <c r="R321">
        <f t="shared" si="13"/>
        <v>0</v>
      </c>
    </row>
    <row r="322" spans="3:18" ht="20.100000000000001" customHeight="1">
      <c r="C322" s="34">
        <v>308</v>
      </c>
      <c r="D322" s="1782" t="str">
        <f>IF('3A.Occpcy&amp;Rent'!$D322="","",VLOOKUP($C322,'3A.Occpcy&amp;Rent'!$C$15:$L$414,2,FALSE))</f>
        <v/>
      </c>
      <c r="E322" s="1783" t="str">
        <f>IF('3A.Occpcy&amp;Rent'!$D322="","",VLOOKUP($C322,'3A.Occpcy&amp;Rent'!$C$15:$L$414,3,FALSE))</f>
        <v/>
      </c>
      <c r="F322" s="1784" t="str">
        <f>IF('3A.Occpcy&amp;Rent'!$D322="","",VLOOKUP($C322,'3A.Occpcy&amp;Rent'!$C$15:$L$414,10,FALSE))</f>
        <v/>
      </c>
      <c r="G322" s="1785" t="str">
        <f>IF('3A.Occpcy&amp;Rent'!$D322="","",VLOOKUP($C322,'3A.Occpcy&amp;Rent'!$C$15:$L$414,5,FALSE))</f>
        <v/>
      </c>
      <c r="H322" s="1727"/>
      <c r="I322" s="1727"/>
      <c r="J322" s="1727"/>
      <c r="K322" s="1727"/>
      <c r="L322" s="1727"/>
      <c r="M322" s="1469"/>
      <c r="N322" s="1729"/>
      <c r="P322" s="1597">
        <f t="shared" si="12"/>
        <v>1</v>
      </c>
      <c r="Q322" s="1597">
        <f t="shared" si="14"/>
        <v>1</v>
      </c>
      <c r="R322">
        <f t="shared" si="13"/>
        <v>0</v>
      </c>
    </row>
    <row r="323" spans="3:18" ht="20.100000000000001" customHeight="1">
      <c r="C323" s="34">
        <v>309</v>
      </c>
      <c r="D323" s="1782" t="str">
        <f>IF('3A.Occpcy&amp;Rent'!$D323="","",VLOOKUP($C323,'3A.Occpcy&amp;Rent'!$C$15:$L$414,2,FALSE))</f>
        <v/>
      </c>
      <c r="E323" s="1783" t="str">
        <f>IF('3A.Occpcy&amp;Rent'!$D323="","",VLOOKUP($C323,'3A.Occpcy&amp;Rent'!$C$15:$L$414,3,FALSE))</f>
        <v/>
      </c>
      <c r="F323" s="1784" t="str">
        <f>IF('3A.Occpcy&amp;Rent'!$D323="","",VLOOKUP($C323,'3A.Occpcy&amp;Rent'!$C$15:$L$414,10,FALSE))</f>
        <v/>
      </c>
      <c r="G323" s="1785" t="str">
        <f>IF('3A.Occpcy&amp;Rent'!$D323="","",VLOOKUP($C323,'3A.Occpcy&amp;Rent'!$C$15:$L$414,5,FALSE))</f>
        <v/>
      </c>
      <c r="H323" s="1727"/>
      <c r="I323" s="1727"/>
      <c r="J323" s="1727"/>
      <c r="K323" s="1727"/>
      <c r="L323" s="1727"/>
      <c r="M323" s="1469"/>
      <c r="N323" s="1729"/>
      <c r="P323" s="1597">
        <f t="shared" si="12"/>
        <v>1</v>
      </c>
      <c r="Q323" s="1597">
        <f t="shared" si="14"/>
        <v>1</v>
      </c>
      <c r="R323">
        <f t="shared" si="13"/>
        <v>0</v>
      </c>
    </row>
    <row r="324" spans="3:18" ht="20.100000000000001" customHeight="1">
      <c r="C324" s="34">
        <v>310</v>
      </c>
      <c r="D324" s="1782" t="str">
        <f>IF('3A.Occpcy&amp;Rent'!$D324="","",VLOOKUP($C324,'3A.Occpcy&amp;Rent'!$C$15:$L$414,2,FALSE))</f>
        <v/>
      </c>
      <c r="E324" s="1783" t="str">
        <f>IF('3A.Occpcy&amp;Rent'!$D324="","",VLOOKUP($C324,'3A.Occpcy&amp;Rent'!$C$15:$L$414,3,FALSE))</f>
        <v/>
      </c>
      <c r="F324" s="1784" t="str">
        <f>IF('3A.Occpcy&amp;Rent'!$D324="","",VLOOKUP($C324,'3A.Occpcy&amp;Rent'!$C$15:$L$414,10,FALSE))</f>
        <v/>
      </c>
      <c r="G324" s="1785" t="str">
        <f>IF('3A.Occpcy&amp;Rent'!$D324="","",VLOOKUP($C324,'3A.Occpcy&amp;Rent'!$C$15:$L$414,5,FALSE))</f>
        <v/>
      </c>
      <c r="H324" s="1727"/>
      <c r="I324" s="1727"/>
      <c r="J324" s="1727"/>
      <c r="K324" s="1727"/>
      <c r="L324" s="1727"/>
      <c r="M324" s="1469"/>
      <c r="N324" s="1729"/>
      <c r="P324" s="1597">
        <f t="shared" si="12"/>
        <v>1</v>
      </c>
      <c r="Q324" s="1597">
        <f t="shared" si="14"/>
        <v>1</v>
      </c>
      <c r="R324">
        <f t="shared" si="13"/>
        <v>0</v>
      </c>
    </row>
    <row r="325" spans="3:18" ht="20.100000000000001" customHeight="1">
      <c r="C325" s="34">
        <v>311</v>
      </c>
      <c r="D325" s="1782" t="str">
        <f>IF('3A.Occpcy&amp;Rent'!$D325="","",VLOOKUP($C325,'3A.Occpcy&amp;Rent'!$C$15:$L$414,2,FALSE))</f>
        <v/>
      </c>
      <c r="E325" s="1783" t="str">
        <f>IF('3A.Occpcy&amp;Rent'!$D325="","",VLOOKUP($C325,'3A.Occpcy&amp;Rent'!$C$15:$L$414,3,FALSE))</f>
        <v/>
      </c>
      <c r="F325" s="1784" t="str">
        <f>IF('3A.Occpcy&amp;Rent'!$D325="","",VLOOKUP($C325,'3A.Occpcy&amp;Rent'!$C$15:$L$414,10,FALSE))</f>
        <v/>
      </c>
      <c r="G325" s="1785" t="str">
        <f>IF('3A.Occpcy&amp;Rent'!$D325="","",VLOOKUP($C325,'3A.Occpcy&amp;Rent'!$C$15:$L$414,5,FALSE))</f>
        <v/>
      </c>
      <c r="H325" s="1727"/>
      <c r="I325" s="1727"/>
      <c r="J325" s="1727"/>
      <c r="K325" s="1727"/>
      <c r="L325" s="1727"/>
      <c r="M325" s="1469"/>
      <c r="N325" s="1729"/>
      <c r="P325" s="1597">
        <f t="shared" si="12"/>
        <v>1</v>
      </c>
      <c r="Q325" s="1597">
        <f t="shared" si="14"/>
        <v>1</v>
      </c>
      <c r="R325">
        <f t="shared" si="13"/>
        <v>0</v>
      </c>
    </row>
    <row r="326" spans="3:18" ht="20.100000000000001" customHeight="1">
      <c r="C326" s="34">
        <v>312</v>
      </c>
      <c r="D326" s="1782" t="str">
        <f>IF('3A.Occpcy&amp;Rent'!$D326="","",VLOOKUP($C326,'3A.Occpcy&amp;Rent'!$C$15:$L$414,2,FALSE))</f>
        <v/>
      </c>
      <c r="E326" s="1783" t="str">
        <f>IF('3A.Occpcy&amp;Rent'!$D326="","",VLOOKUP($C326,'3A.Occpcy&amp;Rent'!$C$15:$L$414,3,FALSE))</f>
        <v/>
      </c>
      <c r="F326" s="1784" t="str">
        <f>IF('3A.Occpcy&amp;Rent'!$D326="","",VLOOKUP($C326,'3A.Occpcy&amp;Rent'!$C$15:$L$414,10,FALSE))</f>
        <v/>
      </c>
      <c r="G326" s="1785" t="str">
        <f>IF('3A.Occpcy&amp;Rent'!$D326="","",VLOOKUP($C326,'3A.Occpcy&amp;Rent'!$C$15:$L$414,5,FALSE))</f>
        <v/>
      </c>
      <c r="H326" s="1727"/>
      <c r="I326" s="1727"/>
      <c r="J326" s="1727"/>
      <c r="K326" s="1727"/>
      <c r="L326" s="1727"/>
      <c r="M326" s="1469"/>
      <c r="N326" s="1729"/>
      <c r="P326" s="1597">
        <f t="shared" si="12"/>
        <v>1</v>
      </c>
      <c r="Q326" s="1597">
        <f t="shared" si="14"/>
        <v>1</v>
      </c>
      <c r="R326">
        <f t="shared" si="13"/>
        <v>0</v>
      </c>
    </row>
    <row r="327" spans="3:18" ht="20.100000000000001" customHeight="1">
      <c r="C327" s="34">
        <v>313</v>
      </c>
      <c r="D327" s="1782" t="str">
        <f>IF('3A.Occpcy&amp;Rent'!$D327="","",VLOOKUP($C327,'3A.Occpcy&amp;Rent'!$C$15:$L$414,2,FALSE))</f>
        <v/>
      </c>
      <c r="E327" s="1783" t="str">
        <f>IF('3A.Occpcy&amp;Rent'!$D327="","",VLOOKUP($C327,'3A.Occpcy&amp;Rent'!$C$15:$L$414,3,FALSE))</f>
        <v/>
      </c>
      <c r="F327" s="1784" t="str">
        <f>IF('3A.Occpcy&amp;Rent'!$D327="","",VLOOKUP($C327,'3A.Occpcy&amp;Rent'!$C$15:$L$414,10,FALSE))</f>
        <v/>
      </c>
      <c r="G327" s="1785" t="str">
        <f>IF('3A.Occpcy&amp;Rent'!$D327="","",VLOOKUP($C327,'3A.Occpcy&amp;Rent'!$C$15:$L$414,5,FALSE))</f>
        <v/>
      </c>
      <c r="H327" s="1727"/>
      <c r="I327" s="1727"/>
      <c r="J327" s="1727"/>
      <c r="K327" s="1727"/>
      <c r="L327" s="1727"/>
      <c r="M327" s="1469"/>
      <c r="N327" s="1729"/>
      <c r="P327" s="1597">
        <f t="shared" si="12"/>
        <v>1</v>
      </c>
      <c r="Q327" s="1597">
        <f t="shared" si="14"/>
        <v>1</v>
      </c>
      <c r="R327">
        <f t="shared" si="13"/>
        <v>0</v>
      </c>
    </row>
    <row r="328" spans="3:18" ht="20.100000000000001" customHeight="1">
      <c r="C328" s="34">
        <v>314</v>
      </c>
      <c r="D328" s="1782" t="str">
        <f>IF('3A.Occpcy&amp;Rent'!$D328="","",VLOOKUP($C328,'3A.Occpcy&amp;Rent'!$C$15:$L$414,2,FALSE))</f>
        <v/>
      </c>
      <c r="E328" s="1783" t="str">
        <f>IF('3A.Occpcy&amp;Rent'!$D328="","",VLOOKUP($C328,'3A.Occpcy&amp;Rent'!$C$15:$L$414,3,FALSE))</f>
        <v/>
      </c>
      <c r="F328" s="1784" t="str">
        <f>IF('3A.Occpcy&amp;Rent'!$D328="","",VLOOKUP($C328,'3A.Occpcy&amp;Rent'!$C$15:$L$414,10,FALSE))</f>
        <v/>
      </c>
      <c r="G328" s="1785" t="str">
        <f>IF('3A.Occpcy&amp;Rent'!$D328="","",VLOOKUP($C328,'3A.Occpcy&amp;Rent'!$C$15:$L$414,5,FALSE))</f>
        <v/>
      </c>
      <c r="H328" s="1727"/>
      <c r="I328" s="1727"/>
      <c r="J328" s="1727"/>
      <c r="K328" s="1727"/>
      <c r="L328" s="1727"/>
      <c r="M328" s="1469"/>
      <c r="N328" s="1729"/>
      <c r="P328" s="1597">
        <f t="shared" si="12"/>
        <v>1</v>
      </c>
      <c r="Q328" s="1597">
        <f t="shared" si="14"/>
        <v>1</v>
      </c>
      <c r="R328">
        <f t="shared" si="13"/>
        <v>0</v>
      </c>
    </row>
    <row r="329" spans="3:18" ht="20.100000000000001" customHeight="1">
      <c r="C329" s="34">
        <v>315</v>
      </c>
      <c r="D329" s="1782" t="str">
        <f>IF('3A.Occpcy&amp;Rent'!$D329="","",VLOOKUP($C329,'3A.Occpcy&amp;Rent'!$C$15:$L$414,2,FALSE))</f>
        <v/>
      </c>
      <c r="E329" s="1783" t="str">
        <f>IF('3A.Occpcy&amp;Rent'!$D329="","",VLOOKUP($C329,'3A.Occpcy&amp;Rent'!$C$15:$L$414,3,FALSE))</f>
        <v/>
      </c>
      <c r="F329" s="1784" t="str">
        <f>IF('3A.Occpcy&amp;Rent'!$D329="","",VLOOKUP($C329,'3A.Occpcy&amp;Rent'!$C$15:$L$414,10,FALSE))</f>
        <v/>
      </c>
      <c r="G329" s="1785" t="str">
        <f>IF('3A.Occpcy&amp;Rent'!$D329="","",VLOOKUP($C329,'3A.Occpcy&amp;Rent'!$C$15:$L$414,5,FALSE))</f>
        <v/>
      </c>
      <c r="H329" s="1727"/>
      <c r="I329" s="1727"/>
      <c r="J329" s="1727"/>
      <c r="K329" s="1727"/>
      <c r="L329" s="1727"/>
      <c r="M329" s="1469"/>
      <c r="N329" s="1729"/>
      <c r="P329" s="1597">
        <f t="shared" si="12"/>
        <v>1</v>
      </c>
      <c r="Q329" s="1597">
        <f t="shared" si="14"/>
        <v>1</v>
      </c>
      <c r="R329">
        <f t="shared" si="13"/>
        <v>0</v>
      </c>
    </row>
    <row r="330" spans="3:18" ht="20.100000000000001" customHeight="1">
      <c r="C330" s="34">
        <v>316</v>
      </c>
      <c r="D330" s="1782" t="str">
        <f>IF('3A.Occpcy&amp;Rent'!$D330="","",VLOOKUP($C330,'3A.Occpcy&amp;Rent'!$C$15:$L$414,2,FALSE))</f>
        <v/>
      </c>
      <c r="E330" s="1783" t="str">
        <f>IF('3A.Occpcy&amp;Rent'!$D330="","",VLOOKUP($C330,'3A.Occpcy&amp;Rent'!$C$15:$L$414,3,FALSE))</f>
        <v/>
      </c>
      <c r="F330" s="1784" t="str">
        <f>IF('3A.Occpcy&amp;Rent'!$D330="","",VLOOKUP($C330,'3A.Occpcy&amp;Rent'!$C$15:$L$414,10,FALSE))</f>
        <v/>
      </c>
      <c r="G330" s="1785" t="str">
        <f>IF('3A.Occpcy&amp;Rent'!$D330="","",VLOOKUP($C330,'3A.Occpcy&amp;Rent'!$C$15:$L$414,5,FALSE))</f>
        <v/>
      </c>
      <c r="H330" s="1727"/>
      <c r="I330" s="1727"/>
      <c r="J330" s="1727"/>
      <c r="K330" s="1727"/>
      <c r="L330" s="1727"/>
      <c r="M330" s="1469"/>
      <c r="N330" s="1729"/>
      <c r="P330" s="1597">
        <f t="shared" si="12"/>
        <v>1</v>
      </c>
      <c r="Q330" s="1597">
        <f t="shared" si="14"/>
        <v>1</v>
      </c>
      <c r="R330">
        <f t="shared" si="13"/>
        <v>0</v>
      </c>
    </row>
    <row r="331" spans="3:18" ht="20.100000000000001" customHeight="1">
      <c r="C331" s="34">
        <v>317</v>
      </c>
      <c r="D331" s="1782" t="str">
        <f>IF('3A.Occpcy&amp;Rent'!$D331="","",VLOOKUP($C331,'3A.Occpcy&amp;Rent'!$C$15:$L$414,2,FALSE))</f>
        <v/>
      </c>
      <c r="E331" s="1783" t="str">
        <f>IF('3A.Occpcy&amp;Rent'!$D331="","",VLOOKUP($C331,'3A.Occpcy&amp;Rent'!$C$15:$L$414,3,FALSE))</f>
        <v/>
      </c>
      <c r="F331" s="1784" t="str">
        <f>IF('3A.Occpcy&amp;Rent'!$D331="","",VLOOKUP($C331,'3A.Occpcy&amp;Rent'!$C$15:$L$414,10,FALSE))</f>
        <v/>
      </c>
      <c r="G331" s="1785" t="str">
        <f>IF('3A.Occpcy&amp;Rent'!$D331="","",VLOOKUP($C331,'3A.Occpcy&amp;Rent'!$C$15:$L$414,5,FALSE))</f>
        <v/>
      </c>
      <c r="H331" s="1727"/>
      <c r="I331" s="1727"/>
      <c r="J331" s="1727"/>
      <c r="K331" s="1727"/>
      <c r="L331" s="1727"/>
      <c r="M331" s="1469"/>
      <c r="N331" s="1729"/>
      <c r="P331" s="1597">
        <f t="shared" si="12"/>
        <v>1</v>
      </c>
      <c r="Q331" s="1597">
        <f t="shared" si="14"/>
        <v>1</v>
      </c>
      <c r="R331">
        <f t="shared" si="13"/>
        <v>0</v>
      </c>
    </row>
    <row r="332" spans="3:18" ht="20.100000000000001" customHeight="1">
      <c r="C332" s="34">
        <v>318</v>
      </c>
      <c r="D332" s="1782" t="str">
        <f>IF('3A.Occpcy&amp;Rent'!$D332="","",VLOOKUP($C332,'3A.Occpcy&amp;Rent'!$C$15:$L$414,2,FALSE))</f>
        <v/>
      </c>
      <c r="E332" s="1783" t="str">
        <f>IF('3A.Occpcy&amp;Rent'!$D332="","",VLOOKUP($C332,'3A.Occpcy&amp;Rent'!$C$15:$L$414,3,FALSE))</f>
        <v/>
      </c>
      <c r="F332" s="1784" t="str">
        <f>IF('3A.Occpcy&amp;Rent'!$D332="","",VLOOKUP($C332,'3A.Occpcy&amp;Rent'!$C$15:$L$414,10,FALSE))</f>
        <v/>
      </c>
      <c r="G332" s="1785" t="str">
        <f>IF('3A.Occpcy&amp;Rent'!$D332="","",VLOOKUP($C332,'3A.Occpcy&amp;Rent'!$C$15:$L$414,5,FALSE))</f>
        <v/>
      </c>
      <c r="H332" s="1727"/>
      <c r="I332" s="1727"/>
      <c r="J332" s="1727"/>
      <c r="K332" s="1727"/>
      <c r="L332" s="1727"/>
      <c r="M332" s="1469"/>
      <c r="N332" s="1729"/>
      <c r="P332" s="1597">
        <f t="shared" si="12"/>
        <v>1</v>
      </c>
      <c r="Q332" s="1597">
        <f t="shared" si="14"/>
        <v>1</v>
      </c>
      <c r="R332">
        <f t="shared" si="13"/>
        <v>0</v>
      </c>
    </row>
    <row r="333" spans="3:18" ht="20.100000000000001" customHeight="1">
      <c r="C333" s="34">
        <v>319</v>
      </c>
      <c r="D333" s="1782" t="str">
        <f>IF('3A.Occpcy&amp;Rent'!$D333="","",VLOOKUP($C333,'3A.Occpcy&amp;Rent'!$C$15:$L$414,2,FALSE))</f>
        <v/>
      </c>
      <c r="E333" s="1783" t="str">
        <f>IF('3A.Occpcy&amp;Rent'!$D333="","",VLOOKUP($C333,'3A.Occpcy&amp;Rent'!$C$15:$L$414,3,FALSE))</f>
        <v/>
      </c>
      <c r="F333" s="1784" t="str">
        <f>IF('3A.Occpcy&amp;Rent'!$D333="","",VLOOKUP($C333,'3A.Occpcy&amp;Rent'!$C$15:$L$414,10,FALSE))</f>
        <v/>
      </c>
      <c r="G333" s="1785" t="str">
        <f>IF('3A.Occpcy&amp;Rent'!$D333="","",VLOOKUP($C333,'3A.Occpcy&amp;Rent'!$C$15:$L$414,5,FALSE))</f>
        <v/>
      </c>
      <c r="H333" s="1727"/>
      <c r="I333" s="1727"/>
      <c r="J333" s="1727"/>
      <c r="K333" s="1727"/>
      <c r="L333" s="1727"/>
      <c r="M333" s="1469"/>
      <c r="N333" s="1729"/>
      <c r="P333" s="1597">
        <f t="shared" si="12"/>
        <v>1</v>
      </c>
      <c r="Q333" s="1597">
        <f t="shared" si="14"/>
        <v>1</v>
      </c>
      <c r="R333">
        <f t="shared" si="13"/>
        <v>0</v>
      </c>
    </row>
    <row r="334" spans="3:18" ht="20.100000000000001" customHeight="1">
      <c r="C334" s="34">
        <v>320</v>
      </c>
      <c r="D334" s="1782" t="str">
        <f>IF('3A.Occpcy&amp;Rent'!$D334="","",VLOOKUP($C334,'3A.Occpcy&amp;Rent'!$C$15:$L$414,2,FALSE))</f>
        <v/>
      </c>
      <c r="E334" s="1783" t="str">
        <f>IF('3A.Occpcy&amp;Rent'!$D334="","",VLOOKUP($C334,'3A.Occpcy&amp;Rent'!$C$15:$L$414,3,FALSE))</f>
        <v/>
      </c>
      <c r="F334" s="1784" t="str">
        <f>IF('3A.Occpcy&amp;Rent'!$D334="","",VLOOKUP($C334,'3A.Occpcy&amp;Rent'!$C$15:$L$414,10,FALSE))</f>
        <v/>
      </c>
      <c r="G334" s="1785" t="str">
        <f>IF('3A.Occpcy&amp;Rent'!$D334="","",VLOOKUP($C334,'3A.Occpcy&amp;Rent'!$C$15:$L$414,5,FALSE))</f>
        <v/>
      </c>
      <c r="H334" s="1727"/>
      <c r="I334" s="1727"/>
      <c r="J334" s="1727"/>
      <c r="K334" s="1727"/>
      <c r="L334" s="1727"/>
      <c r="M334" s="1469"/>
      <c r="N334" s="1729"/>
      <c r="P334" s="1597">
        <f t="shared" si="12"/>
        <v>1</v>
      </c>
      <c r="Q334" s="1597">
        <f t="shared" si="14"/>
        <v>1</v>
      </c>
      <c r="R334">
        <f t="shared" si="13"/>
        <v>0</v>
      </c>
    </row>
    <row r="335" spans="3:18" ht="20.100000000000001" customHeight="1">
      <c r="C335" s="34">
        <v>321</v>
      </c>
      <c r="D335" s="1782" t="str">
        <f>IF('3A.Occpcy&amp;Rent'!$D335="","",VLOOKUP($C335,'3A.Occpcy&amp;Rent'!$C$15:$L$414,2,FALSE))</f>
        <v/>
      </c>
      <c r="E335" s="1783" t="str">
        <f>IF('3A.Occpcy&amp;Rent'!$D335="","",VLOOKUP($C335,'3A.Occpcy&amp;Rent'!$C$15:$L$414,3,FALSE))</f>
        <v/>
      </c>
      <c r="F335" s="1784" t="str">
        <f>IF('3A.Occpcy&amp;Rent'!$D335="","",VLOOKUP($C335,'3A.Occpcy&amp;Rent'!$C$15:$L$414,10,FALSE))</f>
        <v/>
      </c>
      <c r="G335" s="1785" t="str">
        <f>IF('3A.Occpcy&amp;Rent'!$D335="","",VLOOKUP($C335,'3A.Occpcy&amp;Rent'!$C$15:$L$414,5,FALSE))</f>
        <v/>
      </c>
      <c r="H335" s="1727"/>
      <c r="I335" s="1727"/>
      <c r="J335" s="1727"/>
      <c r="K335" s="1727"/>
      <c r="L335" s="1727"/>
      <c r="M335" s="1469"/>
      <c r="N335" s="1729"/>
      <c r="P335" s="1597">
        <f t="shared" ref="P335:P398" si="15">IF(AND(D335&lt;&gt;0,H335&lt;&gt;0,I335&lt;&gt;0),1,IF(AND(D335="",H335="",I335=""),1,0))</f>
        <v>1</v>
      </c>
      <c r="Q335" s="1597">
        <f t="shared" si="14"/>
        <v>1</v>
      </c>
      <c r="R335">
        <f t="shared" ref="R335:R398" si="16">IF(H335=$V$14,$V$14,IF(OR(AND(H335=$V$15,I335=$W$24),AND(H335=$V$16,I335=$W$24)),$W$24,IF(OR(AND(H335=$V$15,I335&lt;&gt;$W$24),AND(H335=$V$16,I335&lt;&gt;$W$24)),I335,0)))</f>
        <v>0</v>
      </c>
    </row>
    <row r="336" spans="3:18" ht="20.100000000000001" customHeight="1">
      <c r="C336" s="34">
        <v>322</v>
      </c>
      <c r="D336" s="1782" t="str">
        <f>IF('3A.Occpcy&amp;Rent'!$D336="","",VLOOKUP($C336,'3A.Occpcy&amp;Rent'!$C$15:$L$414,2,FALSE))</f>
        <v/>
      </c>
      <c r="E336" s="1783" t="str">
        <f>IF('3A.Occpcy&amp;Rent'!$D336="","",VLOOKUP($C336,'3A.Occpcy&amp;Rent'!$C$15:$L$414,3,FALSE))</f>
        <v/>
      </c>
      <c r="F336" s="1784" t="str">
        <f>IF('3A.Occpcy&amp;Rent'!$D336="","",VLOOKUP($C336,'3A.Occpcy&amp;Rent'!$C$15:$L$414,10,FALSE))</f>
        <v/>
      </c>
      <c r="G336" s="1785" t="str">
        <f>IF('3A.Occpcy&amp;Rent'!$D336="","",VLOOKUP($C336,'3A.Occpcy&amp;Rent'!$C$15:$L$414,5,FALSE))</f>
        <v/>
      </c>
      <c r="H336" s="1727"/>
      <c r="I336" s="1727"/>
      <c r="J336" s="1727"/>
      <c r="K336" s="1727"/>
      <c r="L336" s="1727"/>
      <c r="M336" s="1469"/>
      <c r="N336" s="1729"/>
      <c r="P336" s="1597">
        <f t="shared" si="15"/>
        <v>1</v>
      </c>
      <c r="Q336" s="1597">
        <f t="shared" ref="Q336:Q399" si="17">IF(AND(D336&lt;&gt;0,J336&lt;&gt;0,K336&lt;&gt;0),1,IF(AND(D336="",J336="",K336=""),1,0))</f>
        <v>1</v>
      </c>
      <c r="R336">
        <f t="shared" si="16"/>
        <v>0</v>
      </c>
    </row>
    <row r="337" spans="3:18" ht="20.100000000000001" customHeight="1">
      <c r="C337" s="34">
        <v>323</v>
      </c>
      <c r="D337" s="1782" t="str">
        <f>IF('3A.Occpcy&amp;Rent'!$D337="","",VLOOKUP($C337,'3A.Occpcy&amp;Rent'!$C$15:$L$414,2,FALSE))</f>
        <v/>
      </c>
      <c r="E337" s="1783" t="str">
        <f>IF('3A.Occpcy&amp;Rent'!$D337="","",VLOOKUP($C337,'3A.Occpcy&amp;Rent'!$C$15:$L$414,3,FALSE))</f>
        <v/>
      </c>
      <c r="F337" s="1784" t="str">
        <f>IF('3A.Occpcy&amp;Rent'!$D337="","",VLOOKUP($C337,'3A.Occpcy&amp;Rent'!$C$15:$L$414,10,FALSE))</f>
        <v/>
      </c>
      <c r="G337" s="1785" t="str">
        <f>IF('3A.Occpcy&amp;Rent'!$D337="","",VLOOKUP($C337,'3A.Occpcy&amp;Rent'!$C$15:$L$414,5,FALSE))</f>
        <v/>
      </c>
      <c r="H337" s="1727"/>
      <c r="I337" s="1727"/>
      <c r="J337" s="1727"/>
      <c r="K337" s="1727"/>
      <c r="L337" s="1727"/>
      <c r="M337" s="1469"/>
      <c r="N337" s="1729"/>
      <c r="P337" s="1597">
        <f t="shared" si="15"/>
        <v>1</v>
      </c>
      <c r="Q337" s="1597">
        <f t="shared" si="17"/>
        <v>1</v>
      </c>
      <c r="R337">
        <f t="shared" si="16"/>
        <v>0</v>
      </c>
    </row>
    <row r="338" spans="3:18" ht="20.100000000000001" customHeight="1">
      <c r="C338" s="34">
        <v>324</v>
      </c>
      <c r="D338" s="1782" t="str">
        <f>IF('3A.Occpcy&amp;Rent'!$D338="","",VLOOKUP($C338,'3A.Occpcy&amp;Rent'!$C$15:$L$414,2,FALSE))</f>
        <v/>
      </c>
      <c r="E338" s="1783" t="str">
        <f>IF('3A.Occpcy&amp;Rent'!$D338="","",VLOOKUP($C338,'3A.Occpcy&amp;Rent'!$C$15:$L$414,3,FALSE))</f>
        <v/>
      </c>
      <c r="F338" s="1784" t="str">
        <f>IF('3A.Occpcy&amp;Rent'!$D338="","",VLOOKUP($C338,'3A.Occpcy&amp;Rent'!$C$15:$L$414,10,FALSE))</f>
        <v/>
      </c>
      <c r="G338" s="1785" t="str">
        <f>IF('3A.Occpcy&amp;Rent'!$D338="","",VLOOKUP($C338,'3A.Occpcy&amp;Rent'!$C$15:$L$414,5,FALSE))</f>
        <v/>
      </c>
      <c r="H338" s="1727"/>
      <c r="I338" s="1727"/>
      <c r="J338" s="1727"/>
      <c r="K338" s="1727"/>
      <c r="L338" s="1727"/>
      <c r="M338" s="1469"/>
      <c r="N338" s="1729"/>
      <c r="P338" s="1597">
        <f t="shared" si="15"/>
        <v>1</v>
      </c>
      <c r="Q338" s="1597">
        <f t="shared" si="17"/>
        <v>1</v>
      </c>
      <c r="R338">
        <f t="shared" si="16"/>
        <v>0</v>
      </c>
    </row>
    <row r="339" spans="3:18" ht="20.100000000000001" customHeight="1">
      <c r="C339" s="34">
        <v>325</v>
      </c>
      <c r="D339" s="1782" t="str">
        <f>IF('3A.Occpcy&amp;Rent'!$D339="","",VLOOKUP($C339,'3A.Occpcy&amp;Rent'!$C$15:$L$414,2,FALSE))</f>
        <v/>
      </c>
      <c r="E339" s="1783" t="str">
        <f>IF('3A.Occpcy&amp;Rent'!$D339="","",VLOOKUP($C339,'3A.Occpcy&amp;Rent'!$C$15:$L$414,3,FALSE))</f>
        <v/>
      </c>
      <c r="F339" s="1784" t="str">
        <f>IF('3A.Occpcy&amp;Rent'!$D339="","",VLOOKUP($C339,'3A.Occpcy&amp;Rent'!$C$15:$L$414,10,FALSE))</f>
        <v/>
      </c>
      <c r="G339" s="1785" t="str">
        <f>IF('3A.Occpcy&amp;Rent'!$D339="","",VLOOKUP($C339,'3A.Occpcy&amp;Rent'!$C$15:$L$414,5,FALSE))</f>
        <v/>
      </c>
      <c r="H339" s="1727"/>
      <c r="I339" s="1727"/>
      <c r="J339" s="1727"/>
      <c r="K339" s="1727"/>
      <c r="L339" s="1727"/>
      <c r="M339" s="1469"/>
      <c r="N339" s="1729"/>
      <c r="P339" s="1597">
        <f t="shared" si="15"/>
        <v>1</v>
      </c>
      <c r="Q339" s="1597">
        <f t="shared" si="17"/>
        <v>1</v>
      </c>
      <c r="R339">
        <f t="shared" si="16"/>
        <v>0</v>
      </c>
    </row>
    <row r="340" spans="3:18" ht="20.100000000000001" customHeight="1">
      <c r="C340" s="34">
        <v>326</v>
      </c>
      <c r="D340" s="1782" t="str">
        <f>IF('3A.Occpcy&amp;Rent'!$D340="","",VLOOKUP($C340,'3A.Occpcy&amp;Rent'!$C$15:$L$414,2,FALSE))</f>
        <v/>
      </c>
      <c r="E340" s="1783" t="str">
        <f>IF('3A.Occpcy&amp;Rent'!$D340="","",VLOOKUP($C340,'3A.Occpcy&amp;Rent'!$C$15:$L$414,3,FALSE))</f>
        <v/>
      </c>
      <c r="F340" s="1784" t="str">
        <f>IF('3A.Occpcy&amp;Rent'!$D340="","",VLOOKUP($C340,'3A.Occpcy&amp;Rent'!$C$15:$L$414,10,FALSE))</f>
        <v/>
      </c>
      <c r="G340" s="1785" t="str">
        <f>IF('3A.Occpcy&amp;Rent'!$D340="","",VLOOKUP($C340,'3A.Occpcy&amp;Rent'!$C$15:$L$414,5,FALSE))</f>
        <v/>
      </c>
      <c r="H340" s="1727"/>
      <c r="I340" s="1727"/>
      <c r="J340" s="1727"/>
      <c r="K340" s="1727"/>
      <c r="L340" s="1727"/>
      <c r="M340" s="1469"/>
      <c r="N340" s="1729"/>
      <c r="P340" s="1597">
        <f t="shared" si="15"/>
        <v>1</v>
      </c>
      <c r="Q340" s="1597">
        <f t="shared" si="17"/>
        <v>1</v>
      </c>
      <c r="R340">
        <f t="shared" si="16"/>
        <v>0</v>
      </c>
    </row>
    <row r="341" spans="3:18" ht="20.100000000000001" customHeight="1">
      <c r="C341" s="34">
        <v>327</v>
      </c>
      <c r="D341" s="1782" t="str">
        <f>IF('3A.Occpcy&amp;Rent'!$D341="","",VLOOKUP($C341,'3A.Occpcy&amp;Rent'!$C$15:$L$414,2,FALSE))</f>
        <v/>
      </c>
      <c r="E341" s="1783" t="str">
        <f>IF('3A.Occpcy&amp;Rent'!$D341="","",VLOOKUP($C341,'3A.Occpcy&amp;Rent'!$C$15:$L$414,3,FALSE))</f>
        <v/>
      </c>
      <c r="F341" s="1784" t="str">
        <f>IF('3A.Occpcy&amp;Rent'!$D341="","",VLOOKUP($C341,'3A.Occpcy&amp;Rent'!$C$15:$L$414,10,FALSE))</f>
        <v/>
      </c>
      <c r="G341" s="1785" t="str">
        <f>IF('3A.Occpcy&amp;Rent'!$D341="","",VLOOKUP($C341,'3A.Occpcy&amp;Rent'!$C$15:$L$414,5,FALSE))</f>
        <v/>
      </c>
      <c r="H341" s="1727"/>
      <c r="I341" s="1727"/>
      <c r="J341" s="1727"/>
      <c r="K341" s="1727"/>
      <c r="L341" s="1727"/>
      <c r="M341" s="1469"/>
      <c r="N341" s="1729"/>
      <c r="P341" s="1597">
        <f t="shared" si="15"/>
        <v>1</v>
      </c>
      <c r="Q341" s="1597">
        <f t="shared" si="17"/>
        <v>1</v>
      </c>
      <c r="R341">
        <f t="shared" si="16"/>
        <v>0</v>
      </c>
    </row>
    <row r="342" spans="3:18" ht="20.100000000000001" customHeight="1">
      <c r="C342" s="34">
        <v>328</v>
      </c>
      <c r="D342" s="1782" t="str">
        <f>IF('3A.Occpcy&amp;Rent'!$D342="","",VLOOKUP($C342,'3A.Occpcy&amp;Rent'!$C$15:$L$414,2,FALSE))</f>
        <v/>
      </c>
      <c r="E342" s="1783" t="str">
        <f>IF('3A.Occpcy&amp;Rent'!$D342="","",VLOOKUP($C342,'3A.Occpcy&amp;Rent'!$C$15:$L$414,3,FALSE))</f>
        <v/>
      </c>
      <c r="F342" s="1784" t="str">
        <f>IF('3A.Occpcy&amp;Rent'!$D342="","",VLOOKUP($C342,'3A.Occpcy&amp;Rent'!$C$15:$L$414,10,FALSE))</f>
        <v/>
      </c>
      <c r="G342" s="1785" t="str">
        <f>IF('3A.Occpcy&amp;Rent'!$D342="","",VLOOKUP($C342,'3A.Occpcy&amp;Rent'!$C$15:$L$414,5,FALSE))</f>
        <v/>
      </c>
      <c r="H342" s="1727"/>
      <c r="I342" s="1727"/>
      <c r="J342" s="1727"/>
      <c r="K342" s="1727"/>
      <c r="L342" s="1727"/>
      <c r="M342" s="1469"/>
      <c r="N342" s="1729"/>
      <c r="P342" s="1597">
        <f t="shared" si="15"/>
        <v>1</v>
      </c>
      <c r="Q342" s="1597">
        <f t="shared" si="17"/>
        <v>1</v>
      </c>
      <c r="R342">
        <f t="shared" si="16"/>
        <v>0</v>
      </c>
    </row>
    <row r="343" spans="3:18" ht="20.100000000000001" customHeight="1">
      <c r="C343" s="34">
        <v>329</v>
      </c>
      <c r="D343" s="1782" t="str">
        <f>IF('3A.Occpcy&amp;Rent'!$D343="","",VLOOKUP($C343,'3A.Occpcy&amp;Rent'!$C$15:$L$414,2,FALSE))</f>
        <v/>
      </c>
      <c r="E343" s="1783" t="str">
        <f>IF('3A.Occpcy&amp;Rent'!$D343="","",VLOOKUP($C343,'3A.Occpcy&amp;Rent'!$C$15:$L$414,3,FALSE))</f>
        <v/>
      </c>
      <c r="F343" s="1784" t="str">
        <f>IF('3A.Occpcy&amp;Rent'!$D343="","",VLOOKUP($C343,'3A.Occpcy&amp;Rent'!$C$15:$L$414,10,FALSE))</f>
        <v/>
      </c>
      <c r="G343" s="1785" t="str">
        <f>IF('3A.Occpcy&amp;Rent'!$D343="","",VLOOKUP($C343,'3A.Occpcy&amp;Rent'!$C$15:$L$414,5,FALSE))</f>
        <v/>
      </c>
      <c r="H343" s="1727"/>
      <c r="I343" s="1727"/>
      <c r="J343" s="1727"/>
      <c r="K343" s="1727"/>
      <c r="L343" s="1727"/>
      <c r="M343" s="1469"/>
      <c r="N343" s="1729"/>
      <c r="P343" s="1597">
        <f t="shared" si="15"/>
        <v>1</v>
      </c>
      <c r="Q343" s="1597">
        <f t="shared" si="17"/>
        <v>1</v>
      </c>
      <c r="R343">
        <f t="shared" si="16"/>
        <v>0</v>
      </c>
    </row>
    <row r="344" spans="3:18" ht="20.100000000000001" customHeight="1">
      <c r="C344" s="34">
        <v>330</v>
      </c>
      <c r="D344" s="1782" t="str">
        <f>IF('3A.Occpcy&amp;Rent'!$D344="","",VLOOKUP($C344,'3A.Occpcy&amp;Rent'!$C$15:$L$414,2,FALSE))</f>
        <v/>
      </c>
      <c r="E344" s="1783" t="str">
        <f>IF('3A.Occpcy&amp;Rent'!$D344="","",VLOOKUP($C344,'3A.Occpcy&amp;Rent'!$C$15:$L$414,3,FALSE))</f>
        <v/>
      </c>
      <c r="F344" s="1784" t="str">
        <f>IF('3A.Occpcy&amp;Rent'!$D344="","",VLOOKUP($C344,'3A.Occpcy&amp;Rent'!$C$15:$L$414,10,FALSE))</f>
        <v/>
      </c>
      <c r="G344" s="1785" t="str">
        <f>IF('3A.Occpcy&amp;Rent'!$D344="","",VLOOKUP($C344,'3A.Occpcy&amp;Rent'!$C$15:$L$414,5,FALSE))</f>
        <v/>
      </c>
      <c r="H344" s="1727"/>
      <c r="I344" s="1727"/>
      <c r="J344" s="1727"/>
      <c r="K344" s="1727"/>
      <c r="L344" s="1727"/>
      <c r="M344" s="1469"/>
      <c r="N344" s="1729"/>
      <c r="P344" s="1597">
        <f t="shared" si="15"/>
        <v>1</v>
      </c>
      <c r="Q344" s="1597">
        <f t="shared" si="17"/>
        <v>1</v>
      </c>
      <c r="R344">
        <f t="shared" si="16"/>
        <v>0</v>
      </c>
    </row>
    <row r="345" spans="3:18" ht="20.100000000000001" customHeight="1">
      <c r="C345" s="34">
        <v>331</v>
      </c>
      <c r="D345" s="1782" t="str">
        <f>IF('3A.Occpcy&amp;Rent'!$D345="","",VLOOKUP($C345,'3A.Occpcy&amp;Rent'!$C$15:$L$414,2,FALSE))</f>
        <v/>
      </c>
      <c r="E345" s="1783" t="str">
        <f>IF('3A.Occpcy&amp;Rent'!$D345="","",VLOOKUP($C345,'3A.Occpcy&amp;Rent'!$C$15:$L$414,3,FALSE))</f>
        <v/>
      </c>
      <c r="F345" s="1784" t="str">
        <f>IF('3A.Occpcy&amp;Rent'!$D345="","",VLOOKUP($C345,'3A.Occpcy&amp;Rent'!$C$15:$L$414,10,FALSE))</f>
        <v/>
      </c>
      <c r="G345" s="1785" t="str">
        <f>IF('3A.Occpcy&amp;Rent'!$D345="","",VLOOKUP($C345,'3A.Occpcy&amp;Rent'!$C$15:$L$414,5,FALSE))</f>
        <v/>
      </c>
      <c r="H345" s="1727"/>
      <c r="I345" s="1727"/>
      <c r="J345" s="1727"/>
      <c r="K345" s="1727"/>
      <c r="L345" s="1727"/>
      <c r="M345" s="1469"/>
      <c r="N345" s="1729"/>
      <c r="P345" s="1597">
        <f t="shared" si="15"/>
        <v>1</v>
      </c>
      <c r="Q345" s="1597">
        <f t="shared" si="17"/>
        <v>1</v>
      </c>
      <c r="R345">
        <f t="shared" si="16"/>
        <v>0</v>
      </c>
    </row>
    <row r="346" spans="3:18" ht="20.100000000000001" customHeight="1">
      <c r="C346" s="34">
        <v>332</v>
      </c>
      <c r="D346" s="1782" t="str">
        <f>IF('3A.Occpcy&amp;Rent'!$D346="","",VLOOKUP($C346,'3A.Occpcy&amp;Rent'!$C$15:$L$414,2,FALSE))</f>
        <v/>
      </c>
      <c r="E346" s="1783" t="str">
        <f>IF('3A.Occpcy&amp;Rent'!$D346="","",VLOOKUP($C346,'3A.Occpcy&amp;Rent'!$C$15:$L$414,3,FALSE))</f>
        <v/>
      </c>
      <c r="F346" s="1784" t="str">
        <f>IF('3A.Occpcy&amp;Rent'!$D346="","",VLOOKUP($C346,'3A.Occpcy&amp;Rent'!$C$15:$L$414,10,FALSE))</f>
        <v/>
      </c>
      <c r="G346" s="1785" t="str">
        <f>IF('3A.Occpcy&amp;Rent'!$D346="","",VLOOKUP($C346,'3A.Occpcy&amp;Rent'!$C$15:$L$414,5,FALSE))</f>
        <v/>
      </c>
      <c r="H346" s="1727"/>
      <c r="I346" s="1727"/>
      <c r="J346" s="1727"/>
      <c r="K346" s="1727"/>
      <c r="L346" s="1727"/>
      <c r="M346" s="1469"/>
      <c r="N346" s="1729"/>
      <c r="P346" s="1597">
        <f t="shared" si="15"/>
        <v>1</v>
      </c>
      <c r="Q346" s="1597">
        <f t="shared" si="17"/>
        <v>1</v>
      </c>
      <c r="R346">
        <f t="shared" si="16"/>
        <v>0</v>
      </c>
    </row>
    <row r="347" spans="3:18" ht="20.100000000000001" customHeight="1">
      <c r="C347" s="34">
        <v>333</v>
      </c>
      <c r="D347" s="1782" t="str">
        <f>IF('3A.Occpcy&amp;Rent'!$D347="","",VLOOKUP($C347,'3A.Occpcy&amp;Rent'!$C$15:$L$414,2,FALSE))</f>
        <v/>
      </c>
      <c r="E347" s="1783" t="str">
        <f>IF('3A.Occpcy&amp;Rent'!$D347="","",VLOOKUP($C347,'3A.Occpcy&amp;Rent'!$C$15:$L$414,3,FALSE))</f>
        <v/>
      </c>
      <c r="F347" s="1784" t="str">
        <f>IF('3A.Occpcy&amp;Rent'!$D347="","",VLOOKUP($C347,'3A.Occpcy&amp;Rent'!$C$15:$L$414,10,FALSE))</f>
        <v/>
      </c>
      <c r="G347" s="1785" t="str">
        <f>IF('3A.Occpcy&amp;Rent'!$D347="","",VLOOKUP($C347,'3A.Occpcy&amp;Rent'!$C$15:$L$414,5,FALSE))</f>
        <v/>
      </c>
      <c r="H347" s="1727"/>
      <c r="I347" s="1727"/>
      <c r="J347" s="1727"/>
      <c r="K347" s="1727"/>
      <c r="L347" s="1727"/>
      <c r="M347" s="1469"/>
      <c r="N347" s="1729"/>
      <c r="P347" s="1597">
        <f t="shared" si="15"/>
        <v>1</v>
      </c>
      <c r="Q347" s="1597">
        <f t="shared" si="17"/>
        <v>1</v>
      </c>
      <c r="R347">
        <f t="shared" si="16"/>
        <v>0</v>
      </c>
    </row>
    <row r="348" spans="3:18" ht="20.100000000000001" customHeight="1">
      <c r="C348" s="34">
        <v>334</v>
      </c>
      <c r="D348" s="1782" t="str">
        <f>IF('3A.Occpcy&amp;Rent'!$D348="","",VLOOKUP($C348,'3A.Occpcy&amp;Rent'!$C$15:$L$414,2,FALSE))</f>
        <v/>
      </c>
      <c r="E348" s="1783" t="str">
        <f>IF('3A.Occpcy&amp;Rent'!$D348="","",VLOOKUP($C348,'3A.Occpcy&amp;Rent'!$C$15:$L$414,3,FALSE))</f>
        <v/>
      </c>
      <c r="F348" s="1784" t="str">
        <f>IF('3A.Occpcy&amp;Rent'!$D348="","",VLOOKUP($C348,'3A.Occpcy&amp;Rent'!$C$15:$L$414,10,FALSE))</f>
        <v/>
      </c>
      <c r="G348" s="1785" t="str">
        <f>IF('3A.Occpcy&amp;Rent'!$D348="","",VLOOKUP($C348,'3A.Occpcy&amp;Rent'!$C$15:$L$414,5,FALSE))</f>
        <v/>
      </c>
      <c r="H348" s="1727"/>
      <c r="I348" s="1727"/>
      <c r="J348" s="1727"/>
      <c r="K348" s="1727"/>
      <c r="L348" s="1727"/>
      <c r="M348" s="1469"/>
      <c r="N348" s="1729"/>
      <c r="P348" s="1597">
        <f t="shared" si="15"/>
        <v>1</v>
      </c>
      <c r="Q348" s="1597">
        <f t="shared" si="17"/>
        <v>1</v>
      </c>
      <c r="R348">
        <f t="shared" si="16"/>
        <v>0</v>
      </c>
    </row>
    <row r="349" spans="3:18" ht="20.100000000000001" customHeight="1">
      <c r="C349" s="34">
        <v>335</v>
      </c>
      <c r="D349" s="1782" t="str">
        <f>IF('3A.Occpcy&amp;Rent'!$D349="","",VLOOKUP($C349,'3A.Occpcy&amp;Rent'!$C$15:$L$414,2,FALSE))</f>
        <v/>
      </c>
      <c r="E349" s="1783" t="str">
        <f>IF('3A.Occpcy&amp;Rent'!$D349="","",VLOOKUP($C349,'3A.Occpcy&amp;Rent'!$C$15:$L$414,3,FALSE))</f>
        <v/>
      </c>
      <c r="F349" s="1784" t="str">
        <f>IF('3A.Occpcy&amp;Rent'!$D349="","",VLOOKUP($C349,'3A.Occpcy&amp;Rent'!$C$15:$L$414,10,FALSE))</f>
        <v/>
      </c>
      <c r="G349" s="1785" t="str">
        <f>IF('3A.Occpcy&amp;Rent'!$D349="","",VLOOKUP($C349,'3A.Occpcy&amp;Rent'!$C$15:$L$414,5,FALSE))</f>
        <v/>
      </c>
      <c r="H349" s="1727"/>
      <c r="I349" s="1727"/>
      <c r="J349" s="1727"/>
      <c r="K349" s="1727"/>
      <c r="L349" s="1727"/>
      <c r="M349" s="1469"/>
      <c r="N349" s="1729"/>
      <c r="P349" s="1597">
        <f t="shared" si="15"/>
        <v>1</v>
      </c>
      <c r="Q349" s="1597">
        <f t="shared" si="17"/>
        <v>1</v>
      </c>
      <c r="R349">
        <f t="shared" si="16"/>
        <v>0</v>
      </c>
    </row>
    <row r="350" spans="3:18" ht="20.100000000000001" customHeight="1">
      <c r="C350" s="34">
        <v>336</v>
      </c>
      <c r="D350" s="1782" t="str">
        <f>IF('3A.Occpcy&amp;Rent'!$D350="","",VLOOKUP($C350,'3A.Occpcy&amp;Rent'!$C$15:$L$414,2,FALSE))</f>
        <v/>
      </c>
      <c r="E350" s="1783" t="str">
        <f>IF('3A.Occpcy&amp;Rent'!$D350="","",VLOOKUP($C350,'3A.Occpcy&amp;Rent'!$C$15:$L$414,3,FALSE))</f>
        <v/>
      </c>
      <c r="F350" s="1784" t="str">
        <f>IF('3A.Occpcy&amp;Rent'!$D350="","",VLOOKUP($C350,'3A.Occpcy&amp;Rent'!$C$15:$L$414,10,FALSE))</f>
        <v/>
      </c>
      <c r="G350" s="1785" t="str">
        <f>IF('3A.Occpcy&amp;Rent'!$D350="","",VLOOKUP($C350,'3A.Occpcy&amp;Rent'!$C$15:$L$414,5,FALSE))</f>
        <v/>
      </c>
      <c r="H350" s="1727"/>
      <c r="I350" s="1727"/>
      <c r="J350" s="1727"/>
      <c r="K350" s="1727"/>
      <c r="L350" s="1727"/>
      <c r="M350" s="1469"/>
      <c r="N350" s="1729"/>
      <c r="P350" s="1597">
        <f t="shared" si="15"/>
        <v>1</v>
      </c>
      <c r="Q350" s="1597">
        <f t="shared" si="17"/>
        <v>1</v>
      </c>
      <c r="R350">
        <f t="shared" si="16"/>
        <v>0</v>
      </c>
    </row>
    <row r="351" spans="3:18" ht="20.100000000000001" customHeight="1">
      <c r="C351" s="34">
        <v>337</v>
      </c>
      <c r="D351" s="1782" t="str">
        <f>IF('3A.Occpcy&amp;Rent'!$D351="","",VLOOKUP($C351,'3A.Occpcy&amp;Rent'!$C$15:$L$414,2,FALSE))</f>
        <v/>
      </c>
      <c r="E351" s="1783" t="str">
        <f>IF('3A.Occpcy&amp;Rent'!$D351="","",VLOOKUP($C351,'3A.Occpcy&amp;Rent'!$C$15:$L$414,3,FALSE))</f>
        <v/>
      </c>
      <c r="F351" s="1784" t="str">
        <f>IF('3A.Occpcy&amp;Rent'!$D351="","",VLOOKUP($C351,'3A.Occpcy&amp;Rent'!$C$15:$L$414,10,FALSE))</f>
        <v/>
      </c>
      <c r="G351" s="1785" t="str">
        <f>IF('3A.Occpcy&amp;Rent'!$D351="","",VLOOKUP($C351,'3A.Occpcy&amp;Rent'!$C$15:$L$414,5,FALSE))</f>
        <v/>
      </c>
      <c r="H351" s="1727"/>
      <c r="I351" s="1727"/>
      <c r="J351" s="1727"/>
      <c r="K351" s="1727"/>
      <c r="L351" s="1727"/>
      <c r="M351" s="1469"/>
      <c r="N351" s="1729"/>
      <c r="P351" s="1597">
        <f t="shared" si="15"/>
        <v>1</v>
      </c>
      <c r="Q351" s="1597">
        <f t="shared" si="17"/>
        <v>1</v>
      </c>
      <c r="R351">
        <f t="shared" si="16"/>
        <v>0</v>
      </c>
    </row>
    <row r="352" spans="3:18" ht="20.100000000000001" customHeight="1">
      <c r="C352" s="34">
        <v>338</v>
      </c>
      <c r="D352" s="1782" t="str">
        <f>IF('3A.Occpcy&amp;Rent'!$D352="","",VLOOKUP($C352,'3A.Occpcy&amp;Rent'!$C$15:$L$414,2,FALSE))</f>
        <v/>
      </c>
      <c r="E352" s="1783" t="str">
        <f>IF('3A.Occpcy&amp;Rent'!$D352="","",VLOOKUP($C352,'3A.Occpcy&amp;Rent'!$C$15:$L$414,3,FALSE))</f>
        <v/>
      </c>
      <c r="F352" s="1784" t="str">
        <f>IF('3A.Occpcy&amp;Rent'!$D352="","",VLOOKUP($C352,'3A.Occpcy&amp;Rent'!$C$15:$L$414,10,FALSE))</f>
        <v/>
      </c>
      <c r="G352" s="1785" t="str">
        <f>IF('3A.Occpcy&amp;Rent'!$D352="","",VLOOKUP($C352,'3A.Occpcy&amp;Rent'!$C$15:$L$414,5,FALSE))</f>
        <v/>
      </c>
      <c r="H352" s="1727"/>
      <c r="I352" s="1727"/>
      <c r="J352" s="1727"/>
      <c r="K352" s="1727"/>
      <c r="L352" s="1727"/>
      <c r="M352" s="1469"/>
      <c r="N352" s="1729"/>
      <c r="P352" s="1597">
        <f t="shared" si="15"/>
        <v>1</v>
      </c>
      <c r="Q352" s="1597">
        <f t="shared" si="17"/>
        <v>1</v>
      </c>
      <c r="R352">
        <f t="shared" si="16"/>
        <v>0</v>
      </c>
    </row>
    <row r="353" spans="3:18" ht="20.100000000000001" customHeight="1">
      <c r="C353" s="34">
        <v>339</v>
      </c>
      <c r="D353" s="1782" t="str">
        <f>IF('3A.Occpcy&amp;Rent'!$D353="","",VLOOKUP($C353,'3A.Occpcy&amp;Rent'!$C$15:$L$414,2,FALSE))</f>
        <v/>
      </c>
      <c r="E353" s="1783" t="str">
        <f>IF('3A.Occpcy&amp;Rent'!$D353="","",VLOOKUP($C353,'3A.Occpcy&amp;Rent'!$C$15:$L$414,3,FALSE))</f>
        <v/>
      </c>
      <c r="F353" s="1784" t="str">
        <f>IF('3A.Occpcy&amp;Rent'!$D353="","",VLOOKUP($C353,'3A.Occpcy&amp;Rent'!$C$15:$L$414,10,FALSE))</f>
        <v/>
      </c>
      <c r="G353" s="1785" t="str">
        <f>IF('3A.Occpcy&amp;Rent'!$D353="","",VLOOKUP($C353,'3A.Occpcy&amp;Rent'!$C$15:$L$414,5,FALSE))</f>
        <v/>
      </c>
      <c r="H353" s="1727"/>
      <c r="I353" s="1727"/>
      <c r="J353" s="1727"/>
      <c r="K353" s="1727"/>
      <c r="L353" s="1727"/>
      <c r="M353" s="1469"/>
      <c r="N353" s="1729"/>
      <c r="P353" s="1597">
        <f t="shared" si="15"/>
        <v>1</v>
      </c>
      <c r="Q353" s="1597">
        <f t="shared" si="17"/>
        <v>1</v>
      </c>
      <c r="R353">
        <f t="shared" si="16"/>
        <v>0</v>
      </c>
    </row>
    <row r="354" spans="3:18" ht="20.100000000000001" customHeight="1">
      <c r="C354" s="34">
        <v>340</v>
      </c>
      <c r="D354" s="1782" t="str">
        <f>IF('3A.Occpcy&amp;Rent'!$D354="","",VLOOKUP($C354,'3A.Occpcy&amp;Rent'!$C$15:$L$414,2,FALSE))</f>
        <v/>
      </c>
      <c r="E354" s="1783" t="str">
        <f>IF('3A.Occpcy&amp;Rent'!$D354="","",VLOOKUP($C354,'3A.Occpcy&amp;Rent'!$C$15:$L$414,3,FALSE))</f>
        <v/>
      </c>
      <c r="F354" s="1784" t="str">
        <f>IF('3A.Occpcy&amp;Rent'!$D354="","",VLOOKUP($C354,'3A.Occpcy&amp;Rent'!$C$15:$L$414,10,FALSE))</f>
        <v/>
      </c>
      <c r="G354" s="1785" t="str">
        <f>IF('3A.Occpcy&amp;Rent'!$D354="","",VLOOKUP($C354,'3A.Occpcy&amp;Rent'!$C$15:$L$414,5,FALSE))</f>
        <v/>
      </c>
      <c r="H354" s="1727"/>
      <c r="I354" s="1727"/>
      <c r="J354" s="1727"/>
      <c r="K354" s="1727"/>
      <c r="L354" s="1727"/>
      <c r="M354" s="1469"/>
      <c r="N354" s="1729"/>
      <c r="P354" s="1597">
        <f t="shared" si="15"/>
        <v>1</v>
      </c>
      <c r="Q354" s="1597">
        <f t="shared" si="17"/>
        <v>1</v>
      </c>
      <c r="R354">
        <f t="shared" si="16"/>
        <v>0</v>
      </c>
    </row>
    <row r="355" spans="3:18" ht="20.100000000000001" customHeight="1">
      <c r="C355" s="34">
        <v>341</v>
      </c>
      <c r="D355" s="1782" t="str">
        <f>IF('3A.Occpcy&amp;Rent'!$D355="","",VLOOKUP($C355,'3A.Occpcy&amp;Rent'!$C$15:$L$414,2,FALSE))</f>
        <v/>
      </c>
      <c r="E355" s="1783" t="str">
        <f>IF('3A.Occpcy&amp;Rent'!$D355="","",VLOOKUP($C355,'3A.Occpcy&amp;Rent'!$C$15:$L$414,3,FALSE))</f>
        <v/>
      </c>
      <c r="F355" s="1784" t="str">
        <f>IF('3A.Occpcy&amp;Rent'!$D355="","",VLOOKUP($C355,'3A.Occpcy&amp;Rent'!$C$15:$L$414,10,FALSE))</f>
        <v/>
      </c>
      <c r="G355" s="1785" t="str">
        <f>IF('3A.Occpcy&amp;Rent'!$D355="","",VLOOKUP($C355,'3A.Occpcy&amp;Rent'!$C$15:$L$414,5,FALSE))</f>
        <v/>
      </c>
      <c r="H355" s="1727"/>
      <c r="I355" s="1727"/>
      <c r="J355" s="1727"/>
      <c r="K355" s="1727"/>
      <c r="L355" s="1727"/>
      <c r="M355" s="1469"/>
      <c r="N355" s="1729"/>
      <c r="P355" s="1597">
        <f t="shared" si="15"/>
        <v>1</v>
      </c>
      <c r="Q355" s="1597">
        <f t="shared" si="17"/>
        <v>1</v>
      </c>
      <c r="R355">
        <f t="shared" si="16"/>
        <v>0</v>
      </c>
    </row>
    <row r="356" spans="3:18" ht="20.100000000000001" customHeight="1">
      <c r="C356" s="34">
        <v>342</v>
      </c>
      <c r="D356" s="1782" t="str">
        <f>IF('3A.Occpcy&amp;Rent'!$D356="","",VLOOKUP($C356,'3A.Occpcy&amp;Rent'!$C$15:$L$414,2,FALSE))</f>
        <v/>
      </c>
      <c r="E356" s="1783" t="str">
        <f>IF('3A.Occpcy&amp;Rent'!$D356="","",VLOOKUP($C356,'3A.Occpcy&amp;Rent'!$C$15:$L$414,3,FALSE))</f>
        <v/>
      </c>
      <c r="F356" s="1784" t="str">
        <f>IF('3A.Occpcy&amp;Rent'!$D356="","",VLOOKUP($C356,'3A.Occpcy&amp;Rent'!$C$15:$L$414,10,FALSE))</f>
        <v/>
      </c>
      <c r="G356" s="1785" t="str">
        <f>IF('3A.Occpcy&amp;Rent'!$D356="","",VLOOKUP($C356,'3A.Occpcy&amp;Rent'!$C$15:$L$414,5,FALSE))</f>
        <v/>
      </c>
      <c r="H356" s="1727"/>
      <c r="I356" s="1727"/>
      <c r="J356" s="1727"/>
      <c r="K356" s="1727"/>
      <c r="L356" s="1727"/>
      <c r="M356" s="1469"/>
      <c r="N356" s="1729"/>
      <c r="P356" s="1597">
        <f t="shared" si="15"/>
        <v>1</v>
      </c>
      <c r="Q356" s="1597">
        <f t="shared" si="17"/>
        <v>1</v>
      </c>
      <c r="R356">
        <f t="shared" si="16"/>
        <v>0</v>
      </c>
    </row>
    <row r="357" spans="3:18" ht="20.100000000000001" customHeight="1">
      <c r="C357" s="34">
        <v>343</v>
      </c>
      <c r="D357" s="1782" t="str">
        <f>IF('3A.Occpcy&amp;Rent'!$D357="","",VLOOKUP($C357,'3A.Occpcy&amp;Rent'!$C$15:$L$414,2,FALSE))</f>
        <v/>
      </c>
      <c r="E357" s="1783" t="str">
        <f>IF('3A.Occpcy&amp;Rent'!$D357="","",VLOOKUP($C357,'3A.Occpcy&amp;Rent'!$C$15:$L$414,3,FALSE))</f>
        <v/>
      </c>
      <c r="F357" s="1784" t="str">
        <f>IF('3A.Occpcy&amp;Rent'!$D357="","",VLOOKUP($C357,'3A.Occpcy&amp;Rent'!$C$15:$L$414,10,FALSE))</f>
        <v/>
      </c>
      <c r="G357" s="1785" t="str">
        <f>IF('3A.Occpcy&amp;Rent'!$D357="","",VLOOKUP($C357,'3A.Occpcy&amp;Rent'!$C$15:$L$414,5,FALSE))</f>
        <v/>
      </c>
      <c r="H357" s="1727"/>
      <c r="I357" s="1727"/>
      <c r="J357" s="1727"/>
      <c r="K357" s="1727"/>
      <c r="L357" s="1727"/>
      <c r="M357" s="1469"/>
      <c r="N357" s="1729"/>
      <c r="P357" s="1597">
        <f t="shared" si="15"/>
        <v>1</v>
      </c>
      <c r="Q357" s="1597">
        <f t="shared" si="17"/>
        <v>1</v>
      </c>
      <c r="R357">
        <f t="shared" si="16"/>
        <v>0</v>
      </c>
    </row>
    <row r="358" spans="3:18" ht="20.100000000000001" customHeight="1">
      <c r="C358" s="34">
        <v>344</v>
      </c>
      <c r="D358" s="1782" t="str">
        <f>IF('3A.Occpcy&amp;Rent'!$D358="","",VLOOKUP($C358,'3A.Occpcy&amp;Rent'!$C$15:$L$414,2,FALSE))</f>
        <v/>
      </c>
      <c r="E358" s="1783" t="str">
        <f>IF('3A.Occpcy&amp;Rent'!$D358="","",VLOOKUP($C358,'3A.Occpcy&amp;Rent'!$C$15:$L$414,3,FALSE))</f>
        <v/>
      </c>
      <c r="F358" s="1784" t="str">
        <f>IF('3A.Occpcy&amp;Rent'!$D358="","",VLOOKUP($C358,'3A.Occpcy&amp;Rent'!$C$15:$L$414,10,FALSE))</f>
        <v/>
      </c>
      <c r="G358" s="1785" t="str">
        <f>IF('3A.Occpcy&amp;Rent'!$D358="","",VLOOKUP($C358,'3A.Occpcy&amp;Rent'!$C$15:$L$414,5,FALSE))</f>
        <v/>
      </c>
      <c r="H358" s="1727"/>
      <c r="I358" s="1727"/>
      <c r="J358" s="1727"/>
      <c r="K358" s="1727"/>
      <c r="L358" s="1727"/>
      <c r="M358" s="1469"/>
      <c r="N358" s="1729"/>
      <c r="P358" s="1597">
        <f t="shared" si="15"/>
        <v>1</v>
      </c>
      <c r="Q358" s="1597">
        <f t="shared" si="17"/>
        <v>1</v>
      </c>
      <c r="R358">
        <f t="shared" si="16"/>
        <v>0</v>
      </c>
    </row>
    <row r="359" spans="3:18" ht="20.100000000000001" customHeight="1">
      <c r="C359" s="34">
        <v>345</v>
      </c>
      <c r="D359" s="1782" t="str">
        <f>IF('3A.Occpcy&amp;Rent'!$D359="","",VLOOKUP($C359,'3A.Occpcy&amp;Rent'!$C$15:$L$414,2,FALSE))</f>
        <v/>
      </c>
      <c r="E359" s="1783" t="str">
        <f>IF('3A.Occpcy&amp;Rent'!$D359="","",VLOOKUP($C359,'3A.Occpcy&amp;Rent'!$C$15:$L$414,3,FALSE))</f>
        <v/>
      </c>
      <c r="F359" s="1784" t="str">
        <f>IF('3A.Occpcy&amp;Rent'!$D359="","",VLOOKUP($C359,'3A.Occpcy&amp;Rent'!$C$15:$L$414,10,FALSE))</f>
        <v/>
      </c>
      <c r="G359" s="1785" t="str">
        <f>IF('3A.Occpcy&amp;Rent'!$D359="","",VLOOKUP($C359,'3A.Occpcy&amp;Rent'!$C$15:$L$414,5,FALSE))</f>
        <v/>
      </c>
      <c r="H359" s="1727"/>
      <c r="I359" s="1727"/>
      <c r="J359" s="1727"/>
      <c r="K359" s="1727"/>
      <c r="L359" s="1727"/>
      <c r="M359" s="1469"/>
      <c r="N359" s="1729"/>
      <c r="P359" s="1597">
        <f t="shared" si="15"/>
        <v>1</v>
      </c>
      <c r="Q359" s="1597">
        <f t="shared" si="17"/>
        <v>1</v>
      </c>
      <c r="R359">
        <f t="shared" si="16"/>
        <v>0</v>
      </c>
    </row>
    <row r="360" spans="3:18" ht="20.100000000000001" customHeight="1">
      <c r="C360" s="34">
        <v>346</v>
      </c>
      <c r="D360" s="1782" t="str">
        <f>IF('3A.Occpcy&amp;Rent'!$D360="","",VLOOKUP($C360,'3A.Occpcy&amp;Rent'!$C$15:$L$414,2,FALSE))</f>
        <v/>
      </c>
      <c r="E360" s="1783" t="str">
        <f>IF('3A.Occpcy&amp;Rent'!$D360="","",VLOOKUP($C360,'3A.Occpcy&amp;Rent'!$C$15:$L$414,3,FALSE))</f>
        <v/>
      </c>
      <c r="F360" s="1784" t="str">
        <f>IF('3A.Occpcy&amp;Rent'!$D360="","",VLOOKUP($C360,'3A.Occpcy&amp;Rent'!$C$15:$L$414,10,FALSE))</f>
        <v/>
      </c>
      <c r="G360" s="1785" t="str">
        <f>IF('3A.Occpcy&amp;Rent'!$D360="","",VLOOKUP($C360,'3A.Occpcy&amp;Rent'!$C$15:$L$414,5,FALSE))</f>
        <v/>
      </c>
      <c r="H360" s="1727"/>
      <c r="I360" s="1727"/>
      <c r="J360" s="1727"/>
      <c r="K360" s="1727"/>
      <c r="L360" s="1727"/>
      <c r="M360" s="1469"/>
      <c r="N360" s="1729"/>
      <c r="P360" s="1597">
        <f t="shared" si="15"/>
        <v>1</v>
      </c>
      <c r="Q360" s="1597">
        <f t="shared" si="17"/>
        <v>1</v>
      </c>
      <c r="R360">
        <f t="shared" si="16"/>
        <v>0</v>
      </c>
    </row>
    <row r="361" spans="3:18" ht="20.100000000000001" customHeight="1">
      <c r="C361" s="34">
        <v>347</v>
      </c>
      <c r="D361" s="1782" t="str">
        <f>IF('3A.Occpcy&amp;Rent'!$D361="","",VLOOKUP($C361,'3A.Occpcy&amp;Rent'!$C$15:$L$414,2,FALSE))</f>
        <v/>
      </c>
      <c r="E361" s="1783" t="str">
        <f>IF('3A.Occpcy&amp;Rent'!$D361="","",VLOOKUP($C361,'3A.Occpcy&amp;Rent'!$C$15:$L$414,3,FALSE))</f>
        <v/>
      </c>
      <c r="F361" s="1784" t="str">
        <f>IF('3A.Occpcy&amp;Rent'!$D361="","",VLOOKUP($C361,'3A.Occpcy&amp;Rent'!$C$15:$L$414,10,FALSE))</f>
        <v/>
      </c>
      <c r="G361" s="1785" t="str">
        <f>IF('3A.Occpcy&amp;Rent'!$D361="","",VLOOKUP($C361,'3A.Occpcy&amp;Rent'!$C$15:$L$414,5,FALSE))</f>
        <v/>
      </c>
      <c r="H361" s="1727"/>
      <c r="I361" s="1727"/>
      <c r="J361" s="1727"/>
      <c r="K361" s="1727"/>
      <c r="L361" s="1727"/>
      <c r="M361" s="1469"/>
      <c r="N361" s="1729"/>
      <c r="P361" s="1597">
        <f t="shared" si="15"/>
        <v>1</v>
      </c>
      <c r="Q361" s="1597">
        <f t="shared" si="17"/>
        <v>1</v>
      </c>
      <c r="R361">
        <f t="shared" si="16"/>
        <v>0</v>
      </c>
    </row>
    <row r="362" spans="3:18" ht="20.100000000000001" customHeight="1">
      <c r="C362" s="34">
        <v>348</v>
      </c>
      <c r="D362" s="1782" t="str">
        <f>IF('3A.Occpcy&amp;Rent'!$D362="","",VLOOKUP($C362,'3A.Occpcy&amp;Rent'!$C$15:$L$414,2,FALSE))</f>
        <v/>
      </c>
      <c r="E362" s="1783" t="str">
        <f>IF('3A.Occpcy&amp;Rent'!$D362="","",VLOOKUP($C362,'3A.Occpcy&amp;Rent'!$C$15:$L$414,3,FALSE))</f>
        <v/>
      </c>
      <c r="F362" s="1784" t="str">
        <f>IF('3A.Occpcy&amp;Rent'!$D362="","",VLOOKUP($C362,'3A.Occpcy&amp;Rent'!$C$15:$L$414,10,FALSE))</f>
        <v/>
      </c>
      <c r="G362" s="1785" t="str">
        <f>IF('3A.Occpcy&amp;Rent'!$D362="","",VLOOKUP($C362,'3A.Occpcy&amp;Rent'!$C$15:$L$414,5,FALSE))</f>
        <v/>
      </c>
      <c r="H362" s="1727"/>
      <c r="I362" s="1727"/>
      <c r="J362" s="1727"/>
      <c r="K362" s="1727"/>
      <c r="L362" s="1727"/>
      <c r="M362" s="1469"/>
      <c r="N362" s="1729"/>
      <c r="P362" s="1597">
        <f t="shared" si="15"/>
        <v>1</v>
      </c>
      <c r="Q362" s="1597">
        <f t="shared" si="17"/>
        <v>1</v>
      </c>
      <c r="R362">
        <f t="shared" si="16"/>
        <v>0</v>
      </c>
    </row>
    <row r="363" spans="3:18" ht="20.100000000000001" customHeight="1">
      <c r="C363" s="34">
        <v>349</v>
      </c>
      <c r="D363" s="1782" t="str">
        <f>IF('3A.Occpcy&amp;Rent'!$D363="","",VLOOKUP($C363,'3A.Occpcy&amp;Rent'!$C$15:$L$414,2,FALSE))</f>
        <v/>
      </c>
      <c r="E363" s="1783" t="str">
        <f>IF('3A.Occpcy&amp;Rent'!$D363="","",VLOOKUP($C363,'3A.Occpcy&amp;Rent'!$C$15:$L$414,3,FALSE))</f>
        <v/>
      </c>
      <c r="F363" s="1784" t="str">
        <f>IF('3A.Occpcy&amp;Rent'!$D363="","",VLOOKUP($C363,'3A.Occpcy&amp;Rent'!$C$15:$L$414,10,FALSE))</f>
        <v/>
      </c>
      <c r="G363" s="1785" t="str">
        <f>IF('3A.Occpcy&amp;Rent'!$D363="","",VLOOKUP($C363,'3A.Occpcy&amp;Rent'!$C$15:$L$414,5,FALSE))</f>
        <v/>
      </c>
      <c r="H363" s="1727"/>
      <c r="I363" s="1727"/>
      <c r="J363" s="1727"/>
      <c r="K363" s="1727"/>
      <c r="L363" s="1727"/>
      <c r="M363" s="1469"/>
      <c r="N363" s="1729"/>
      <c r="P363" s="1597">
        <f t="shared" si="15"/>
        <v>1</v>
      </c>
      <c r="Q363" s="1597">
        <f t="shared" si="17"/>
        <v>1</v>
      </c>
      <c r="R363">
        <f t="shared" si="16"/>
        <v>0</v>
      </c>
    </row>
    <row r="364" spans="3:18" ht="20.100000000000001" customHeight="1">
      <c r="C364" s="34">
        <v>350</v>
      </c>
      <c r="D364" s="1782" t="str">
        <f>IF('3A.Occpcy&amp;Rent'!$D364="","",VLOOKUP($C364,'3A.Occpcy&amp;Rent'!$C$15:$L$414,2,FALSE))</f>
        <v/>
      </c>
      <c r="E364" s="1783" t="str">
        <f>IF('3A.Occpcy&amp;Rent'!$D364="","",VLOOKUP($C364,'3A.Occpcy&amp;Rent'!$C$15:$L$414,3,FALSE))</f>
        <v/>
      </c>
      <c r="F364" s="1784" t="str">
        <f>IF('3A.Occpcy&amp;Rent'!$D364="","",VLOOKUP($C364,'3A.Occpcy&amp;Rent'!$C$15:$L$414,10,FALSE))</f>
        <v/>
      </c>
      <c r="G364" s="1785" t="str">
        <f>IF('3A.Occpcy&amp;Rent'!$D364="","",VLOOKUP($C364,'3A.Occpcy&amp;Rent'!$C$15:$L$414,5,FALSE))</f>
        <v/>
      </c>
      <c r="H364" s="1727"/>
      <c r="I364" s="1727"/>
      <c r="J364" s="1727"/>
      <c r="K364" s="1727"/>
      <c r="L364" s="1727"/>
      <c r="M364" s="1469"/>
      <c r="N364" s="1729"/>
      <c r="P364" s="1597">
        <f t="shared" si="15"/>
        <v>1</v>
      </c>
      <c r="Q364" s="1597">
        <f t="shared" si="17"/>
        <v>1</v>
      </c>
      <c r="R364">
        <f t="shared" si="16"/>
        <v>0</v>
      </c>
    </row>
    <row r="365" spans="3:18" ht="20.100000000000001" customHeight="1">
      <c r="C365" s="34">
        <v>351</v>
      </c>
      <c r="D365" s="1782" t="str">
        <f>IF('3A.Occpcy&amp;Rent'!$D365="","",VLOOKUP($C365,'3A.Occpcy&amp;Rent'!$C$15:$L$414,2,FALSE))</f>
        <v/>
      </c>
      <c r="E365" s="1783" t="str">
        <f>IF('3A.Occpcy&amp;Rent'!$D365="","",VLOOKUP($C365,'3A.Occpcy&amp;Rent'!$C$15:$L$414,3,FALSE))</f>
        <v/>
      </c>
      <c r="F365" s="1784" t="str">
        <f>IF('3A.Occpcy&amp;Rent'!$D365="","",VLOOKUP($C365,'3A.Occpcy&amp;Rent'!$C$15:$L$414,10,FALSE))</f>
        <v/>
      </c>
      <c r="G365" s="1785" t="str">
        <f>IF('3A.Occpcy&amp;Rent'!$D365="","",VLOOKUP($C365,'3A.Occpcy&amp;Rent'!$C$15:$L$414,5,FALSE))</f>
        <v/>
      </c>
      <c r="H365" s="1727"/>
      <c r="I365" s="1727"/>
      <c r="J365" s="1727"/>
      <c r="K365" s="1727"/>
      <c r="L365" s="1727"/>
      <c r="M365" s="1469"/>
      <c r="N365" s="1729"/>
      <c r="P365" s="1597">
        <f t="shared" si="15"/>
        <v>1</v>
      </c>
      <c r="Q365" s="1597">
        <f t="shared" si="17"/>
        <v>1</v>
      </c>
      <c r="R365">
        <f t="shared" si="16"/>
        <v>0</v>
      </c>
    </row>
    <row r="366" spans="3:18" ht="20.100000000000001" customHeight="1">
      <c r="C366" s="34">
        <v>352</v>
      </c>
      <c r="D366" s="1782" t="str">
        <f>IF('3A.Occpcy&amp;Rent'!$D366="","",VLOOKUP($C366,'3A.Occpcy&amp;Rent'!$C$15:$L$414,2,FALSE))</f>
        <v/>
      </c>
      <c r="E366" s="1783" t="str">
        <f>IF('3A.Occpcy&amp;Rent'!$D366="","",VLOOKUP($C366,'3A.Occpcy&amp;Rent'!$C$15:$L$414,3,FALSE))</f>
        <v/>
      </c>
      <c r="F366" s="1784" t="str">
        <f>IF('3A.Occpcy&amp;Rent'!$D366="","",VLOOKUP($C366,'3A.Occpcy&amp;Rent'!$C$15:$L$414,10,FALSE))</f>
        <v/>
      </c>
      <c r="G366" s="1785" t="str">
        <f>IF('3A.Occpcy&amp;Rent'!$D366="","",VLOOKUP($C366,'3A.Occpcy&amp;Rent'!$C$15:$L$414,5,FALSE))</f>
        <v/>
      </c>
      <c r="H366" s="1727"/>
      <c r="I366" s="1727"/>
      <c r="J366" s="1727"/>
      <c r="K366" s="1727"/>
      <c r="L366" s="1727"/>
      <c r="M366" s="1469"/>
      <c r="N366" s="1729"/>
      <c r="P366" s="1597">
        <f t="shared" si="15"/>
        <v>1</v>
      </c>
      <c r="Q366" s="1597">
        <f t="shared" si="17"/>
        <v>1</v>
      </c>
      <c r="R366">
        <f t="shared" si="16"/>
        <v>0</v>
      </c>
    </row>
    <row r="367" spans="3:18" ht="20.100000000000001" customHeight="1">
      <c r="C367" s="34">
        <v>353</v>
      </c>
      <c r="D367" s="1782" t="str">
        <f>IF('3A.Occpcy&amp;Rent'!$D367="","",VLOOKUP($C367,'3A.Occpcy&amp;Rent'!$C$15:$L$414,2,FALSE))</f>
        <v/>
      </c>
      <c r="E367" s="1783" t="str">
        <f>IF('3A.Occpcy&amp;Rent'!$D367="","",VLOOKUP($C367,'3A.Occpcy&amp;Rent'!$C$15:$L$414,3,FALSE))</f>
        <v/>
      </c>
      <c r="F367" s="1784" t="str">
        <f>IF('3A.Occpcy&amp;Rent'!$D367="","",VLOOKUP($C367,'3A.Occpcy&amp;Rent'!$C$15:$L$414,10,FALSE))</f>
        <v/>
      </c>
      <c r="G367" s="1785" t="str">
        <f>IF('3A.Occpcy&amp;Rent'!$D367="","",VLOOKUP($C367,'3A.Occpcy&amp;Rent'!$C$15:$L$414,5,FALSE))</f>
        <v/>
      </c>
      <c r="H367" s="1727"/>
      <c r="I367" s="1727"/>
      <c r="J367" s="1727"/>
      <c r="K367" s="1727"/>
      <c r="L367" s="1727"/>
      <c r="M367" s="1469"/>
      <c r="N367" s="1729"/>
      <c r="P367" s="1597">
        <f t="shared" si="15"/>
        <v>1</v>
      </c>
      <c r="Q367" s="1597">
        <f t="shared" si="17"/>
        <v>1</v>
      </c>
      <c r="R367">
        <f t="shared" si="16"/>
        <v>0</v>
      </c>
    </row>
    <row r="368" spans="3:18" ht="20.100000000000001" customHeight="1">
      <c r="C368" s="34">
        <v>354</v>
      </c>
      <c r="D368" s="1782" t="str">
        <f>IF('3A.Occpcy&amp;Rent'!$D368="","",VLOOKUP($C368,'3A.Occpcy&amp;Rent'!$C$15:$L$414,2,FALSE))</f>
        <v/>
      </c>
      <c r="E368" s="1783" t="str">
        <f>IF('3A.Occpcy&amp;Rent'!$D368="","",VLOOKUP($C368,'3A.Occpcy&amp;Rent'!$C$15:$L$414,3,FALSE))</f>
        <v/>
      </c>
      <c r="F368" s="1784" t="str">
        <f>IF('3A.Occpcy&amp;Rent'!$D368="","",VLOOKUP($C368,'3A.Occpcy&amp;Rent'!$C$15:$L$414,10,FALSE))</f>
        <v/>
      </c>
      <c r="G368" s="1785" t="str">
        <f>IF('3A.Occpcy&amp;Rent'!$D368="","",VLOOKUP($C368,'3A.Occpcy&amp;Rent'!$C$15:$L$414,5,FALSE))</f>
        <v/>
      </c>
      <c r="H368" s="1727"/>
      <c r="I368" s="1727"/>
      <c r="J368" s="1727"/>
      <c r="K368" s="1727"/>
      <c r="L368" s="1727"/>
      <c r="M368" s="1469"/>
      <c r="N368" s="1729"/>
      <c r="P368" s="1597">
        <f t="shared" si="15"/>
        <v>1</v>
      </c>
      <c r="Q368" s="1597">
        <f t="shared" si="17"/>
        <v>1</v>
      </c>
      <c r="R368">
        <f t="shared" si="16"/>
        <v>0</v>
      </c>
    </row>
    <row r="369" spans="3:18" ht="20.100000000000001" customHeight="1">
      <c r="C369" s="34">
        <v>355</v>
      </c>
      <c r="D369" s="1782" t="str">
        <f>IF('3A.Occpcy&amp;Rent'!$D369="","",VLOOKUP($C369,'3A.Occpcy&amp;Rent'!$C$15:$L$414,2,FALSE))</f>
        <v/>
      </c>
      <c r="E369" s="1783" t="str">
        <f>IF('3A.Occpcy&amp;Rent'!$D369="","",VLOOKUP($C369,'3A.Occpcy&amp;Rent'!$C$15:$L$414,3,FALSE))</f>
        <v/>
      </c>
      <c r="F369" s="1784" t="str">
        <f>IF('3A.Occpcy&amp;Rent'!$D369="","",VLOOKUP($C369,'3A.Occpcy&amp;Rent'!$C$15:$L$414,10,FALSE))</f>
        <v/>
      </c>
      <c r="G369" s="1785" t="str">
        <f>IF('3A.Occpcy&amp;Rent'!$D369="","",VLOOKUP($C369,'3A.Occpcy&amp;Rent'!$C$15:$L$414,5,FALSE))</f>
        <v/>
      </c>
      <c r="H369" s="1727"/>
      <c r="I369" s="1727"/>
      <c r="J369" s="1727"/>
      <c r="K369" s="1727"/>
      <c r="L369" s="1727"/>
      <c r="M369" s="1469"/>
      <c r="N369" s="1729"/>
      <c r="P369" s="1597">
        <f t="shared" si="15"/>
        <v>1</v>
      </c>
      <c r="Q369" s="1597">
        <f t="shared" si="17"/>
        <v>1</v>
      </c>
      <c r="R369">
        <f t="shared" si="16"/>
        <v>0</v>
      </c>
    </row>
    <row r="370" spans="3:18" ht="20.100000000000001" customHeight="1">
      <c r="C370" s="34">
        <v>356</v>
      </c>
      <c r="D370" s="1782" t="str">
        <f>IF('3A.Occpcy&amp;Rent'!$D370="","",VLOOKUP($C370,'3A.Occpcy&amp;Rent'!$C$15:$L$414,2,FALSE))</f>
        <v/>
      </c>
      <c r="E370" s="1783" t="str">
        <f>IF('3A.Occpcy&amp;Rent'!$D370="","",VLOOKUP($C370,'3A.Occpcy&amp;Rent'!$C$15:$L$414,3,FALSE))</f>
        <v/>
      </c>
      <c r="F370" s="1784" t="str">
        <f>IF('3A.Occpcy&amp;Rent'!$D370="","",VLOOKUP($C370,'3A.Occpcy&amp;Rent'!$C$15:$L$414,10,FALSE))</f>
        <v/>
      </c>
      <c r="G370" s="1785" t="str">
        <f>IF('3A.Occpcy&amp;Rent'!$D370="","",VLOOKUP($C370,'3A.Occpcy&amp;Rent'!$C$15:$L$414,5,FALSE))</f>
        <v/>
      </c>
      <c r="H370" s="1727"/>
      <c r="I370" s="1727"/>
      <c r="J370" s="1727"/>
      <c r="K370" s="1727"/>
      <c r="L370" s="1727"/>
      <c r="M370" s="1469"/>
      <c r="N370" s="1729"/>
      <c r="P370" s="1597">
        <f t="shared" si="15"/>
        <v>1</v>
      </c>
      <c r="Q370" s="1597">
        <f t="shared" si="17"/>
        <v>1</v>
      </c>
      <c r="R370">
        <f t="shared" si="16"/>
        <v>0</v>
      </c>
    </row>
    <row r="371" spans="3:18" ht="20.100000000000001" customHeight="1">
      <c r="C371" s="34">
        <v>357</v>
      </c>
      <c r="D371" s="1782" t="str">
        <f>IF('3A.Occpcy&amp;Rent'!$D371="","",VLOOKUP($C371,'3A.Occpcy&amp;Rent'!$C$15:$L$414,2,FALSE))</f>
        <v/>
      </c>
      <c r="E371" s="1783" t="str">
        <f>IF('3A.Occpcy&amp;Rent'!$D371="","",VLOOKUP($C371,'3A.Occpcy&amp;Rent'!$C$15:$L$414,3,FALSE))</f>
        <v/>
      </c>
      <c r="F371" s="1784" t="str">
        <f>IF('3A.Occpcy&amp;Rent'!$D371="","",VLOOKUP($C371,'3A.Occpcy&amp;Rent'!$C$15:$L$414,10,FALSE))</f>
        <v/>
      </c>
      <c r="G371" s="1785" t="str">
        <f>IF('3A.Occpcy&amp;Rent'!$D371="","",VLOOKUP($C371,'3A.Occpcy&amp;Rent'!$C$15:$L$414,5,FALSE))</f>
        <v/>
      </c>
      <c r="H371" s="1727"/>
      <c r="I371" s="1727"/>
      <c r="J371" s="1727"/>
      <c r="K371" s="1727"/>
      <c r="L371" s="1727"/>
      <c r="M371" s="1469"/>
      <c r="N371" s="1729"/>
      <c r="P371" s="1597">
        <f t="shared" si="15"/>
        <v>1</v>
      </c>
      <c r="Q371" s="1597">
        <f t="shared" si="17"/>
        <v>1</v>
      </c>
      <c r="R371">
        <f t="shared" si="16"/>
        <v>0</v>
      </c>
    </row>
    <row r="372" spans="3:18" ht="20.100000000000001" customHeight="1">
      <c r="C372" s="34">
        <v>358</v>
      </c>
      <c r="D372" s="1782" t="str">
        <f>IF('3A.Occpcy&amp;Rent'!$D372="","",VLOOKUP($C372,'3A.Occpcy&amp;Rent'!$C$15:$L$414,2,FALSE))</f>
        <v/>
      </c>
      <c r="E372" s="1783" t="str">
        <f>IF('3A.Occpcy&amp;Rent'!$D372="","",VLOOKUP($C372,'3A.Occpcy&amp;Rent'!$C$15:$L$414,3,FALSE))</f>
        <v/>
      </c>
      <c r="F372" s="1784" t="str">
        <f>IF('3A.Occpcy&amp;Rent'!$D372="","",VLOOKUP($C372,'3A.Occpcy&amp;Rent'!$C$15:$L$414,10,FALSE))</f>
        <v/>
      </c>
      <c r="G372" s="1785" t="str">
        <f>IF('3A.Occpcy&amp;Rent'!$D372="","",VLOOKUP($C372,'3A.Occpcy&amp;Rent'!$C$15:$L$414,5,FALSE))</f>
        <v/>
      </c>
      <c r="H372" s="1727"/>
      <c r="I372" s="1727"/>
      <c r="J372" s="1727"/>
      <c r="K372" s="1727"/>
      <c r="L372" s="1727"/>
      <c r="M372" s="1469"/>
      <c r="N372" s="1729"/>
      <c r="P372" s="1597">
        <f t="shared" si="15"/>
        <v>1</v>
      </c>
      <c r="Q372" s="1597">
        <f t="shared" si="17"/>
        <v>1</v>
      </c>
      <c r="R372">
        <f t="shared" si="16"/>
        <v>0</v>
      </c>
    </row>
    <row r="373" spans="3:18" ht="20.100000000000001" customHeight="1">
      <c r="C373" s="34">
        <v>359</v>
      </c>
      <c r="D373" s="1782" t="str">
        <f>IF('3A.Occpcy&amp;Rent'!$D373="","",VLOOKUP($C373,'3A.Occpcy&amp;Rent'!$C$15:$L$414,2,FALSE))</f>
        <v/>
      </c>
      <c r="E373" s="1783" t="str">
        <f>IF('3A.Occpcy&amp;Rent'!$D373="","",VLOOKUP($C373,'3A.Occpcy&amp;Rent'!$C$15:$L$414,3,FALSE))</f>
        <v/>
      </c>
      <c r="F373" s="1784" t="str">
        <f>IF('3A.Occpcy&amp;Rent'!$D373="","",VLOOKUP($C373,'3A.Occpcy&amp;Rent'!$C$15:$L$414,10,FALSE))</f>
        <v/>
      </c>
      <c r="G373" s="1785" t="str">
        <f>IF('3A.Occpcy&amp;Rent'!$D373="","",VLOOKUP($C373,'3A.Occpcy&amp;Rent'!$C$15:$L$414,5,FALSE))</f>
        <v/>
      </c>
      <c r="H373" s="1727"/>
      <c r="I373" s="1727"/>
      <c r="J373" s="1727"/>
      <c r="K373" s="1727"/>
      <c r="L373" s="1727"/>
      <c r="M373" s="1469"/>
      <c r="N373" s="1729"/>
      <c r="P373" s="1597">
        <f t="shared" si="15"/>
        <v>1</v>
      </c>
      <c r="Q373" s="1597">
        <f t="shared" si="17"/>
        <v>1</v>
      </c>
      <c r="R373">
        <f t="shared" si="16"/>
        <v>0</v>
      </c>
    </row>
    <row r="374" spans="3:18" ht="20.100000000000001" customHeight="1">
      <c r="C374" s="34">
        <v>360</v>
      </c>
      <c r="D374" s="1782" t="str">
        <f>IF('3A.Occpcy&amp;Rent'!$D374="","",VLOOKUP($C374,'3A.Occpcy&amp;Rent'!$C$15:$L$414,2,FALSE))</f>
        <v/>
      </c>
      <c r="E374" s="1783" t="str">
        <f>IF('3A.Occpcy&amp;Rent'!$D374="","",VLOOKUP($C374,'3A.Occpcy&amp;Rent'!$C$15:$L$414,3,FALSE))</f>
        <v/>
      </c>
      <c r="F374" s="1784" t="str">
        <f>IF('3A.Occpcy&amp;Rent'!$D374="","",VLOOKUP($C374,'3A.Occpcy&amp;Rent'!$C$15:$L$414,10,FALSE))</f>
        <v/>
      </c>
      <c r="G374" s="1785" t="str">
        <f>IF('3A.Occpcy&amp;Rent'!$D374="","",VLOOKUP($C374,'3A.Occpcy&amp;Rent'!$C$15:$L$414,5,FALSE))</f>
        <v/>
      </c>
      <c r="H374" s="1727"/>
      <c r="I374" s="1727"/>
      <c r="J374" s="1727"/>
      <c r="K374" s="1727"/>
      <c r="L374" s="1727"/>
      <c r="M374" s="1469"/>
      <c r="N374" s="1729"/>
      <c r="P374" s="1597">
        <f t="shared" si="15"/>
        <v>1</v>
      </c>
      <c r="Q374" s="1597">
        <f t="shared" si="17"/>
        <v>1</v>
      </c>
      <c r="R374">
        <f t="shared" si="16"/>
        <v>0</v>
      </c>
    </row>
    <row r="375" spans="3:18" ht="20.100000000000001" customHeight="1">
      <c r="C375" s="34">
        <v>361</v>
      </c>
      <c r="D375" s="1782" t="str">
        <f>IF('3A.Occpcy&amp;Rent'!$D375="","",VLOOKUP($C375,'3A.Occpcy&amp;Rent'!$C$15:$L$414,2,FALSE))</f>
        <v/>
      </c>
      <c r="E375" s="1783" t="str">
        <f>IF('3A.Occpcy&amp;Rent'!$D375="","",VLOOKUP($C375,'3A.Occpcy&amp;Rent'!$C$15:$L$414,3,FALSE))</f>
        <v/>
      </c>
      <c r="F375" s="1784" t="str">
        <f>IF('3A.Occpcy&amp;Rent'!$D375="","",VLOOKUP($C375,'3A.Occpcy&amp;Rent'!$C$15:$L$414,10,FALSE))</f>
        <v/>
      </c>
      <c r="G375" s="1785" t="str">
        <f>IF('3A.Occpcy&amp;Rent'!$D375="","",VLOOKUP($C375,'3A.Occpcy&amp;Rent'!$C$15:$L$414,5,FALSE))</f>
        <v/>
      </c>
      <c r="H375" s="1727"/>
      <c r="I375" s="1727"/>
      <c r="J375" s="1727"/>
      <c r="K375" s="1727"/>
      <c r="L375" s="1727"/>
      <c r="M375" s="1469"/>
      <c r="N375" s="1729"/>
      <c r="P375" s="1597">
        <f t="shared" si="15"/>
        <v>1</v>
      </c>
      <c r="Q375" s="1597">
        <f t="shared" si="17"/>
        <v>1</v>
      </c>
      <c r="R375">
        <f t="shared" si="16"/>
        <v>0</v>
      </c>
    </row>
    <row r="376" spans="3:18" ht="20.100000000000001" customHeight="1">
      <c r="C376" s="34">
        <v>362</v>
      </c>
      <c r="D376" s="1782" t="str">
        <f>IF('3A.Occpcy&amp;Rent'!$D376="","",VLOOKUP($C376,'3A.Occpcy&amp;Rent'!$C$15:$L$414,2,FALSE))</f>
        <v/>
      </c>
      <c r="E376" s="1783" t="str">
        <f>IF('3A.Occpcy&amp;Rent'!$D376="","",VLOOKUP($C376,'3A.Occpcy&amp;Rent'!$C$15:$L$414,3,FALSE))</f>
        <v/>
      </c>
      <c r="F376" s="1784" t="str">
        <f>IF('3A.Occpcy&amp;Rent'!$D376="","",VLOOKUP($C376,'3A.Occpcy&amp;Rent'!$C$15:$L$414,10,FALSE))</f>
        <v/>
      </c>
      <c r="G376" s="1785" t="str">
        <f>IF('3A.Occpcy&amp;Rent'!$D376="","",VLOOKUP($C376,'3A.Occpcy&amp;Rent'!$C$15:$L$414,5,FALSE))</f>
        <v/>
      </c>
      <c r="H376" s="1727"/>
      <c r="I376" s="1727"/>
      <c r="J376" s="1727"/>
      <c r="K376" s="1727"/>
      <c r="L376" s="1727"/>
      <c r="M376" s="1469"/>
      <c r="N376" s="1729"/>
      <c r="P376" s="1597">
        <f t="shared" si="15"/>
        <v>1</v>
      </c>
      <c r="Q376" s="1597">
        <f t="shared" si="17"/>
        <v>1</v>
      </c>
      <c r="R376">
        <f t="shared" si="16"/>
        <v>0</v>
      </c>
    </row>
    <row r="377" spans="3:18" ht="20.100000000000001" customHeight="1">
      <c r="C377" s="34">
        <v>363</v>
      </c>
      <c r="D377" s="1782" t="str">
        <f>IF('3A.Occpcy&amp;Rent'!$D377="","",VLOOKUP($C377,'3A.Occpcy&amp;Rent'!$C$15:$L$414,2,FALSE))</f>
        <v/>
      </c>
      <c r="E377" s="1783" t="str">
        <f>IF('3A.Occpcy&amp;Rent'!$D377="","",VLOOKUP($C377,'3A.Occpcy&amp;Rent'!$C$15:$L$414,3,FALSE))</f>
        <v/>
      </c>
      <c r="F377" s="1784" t="str">
        <f>IF('3A.Occpcy&amp;Rent'!$D377="","",VLOOKUP($C377,'3A.Occpcy&amp;Rent'!$C$15:$L$414,10,FALSE))</f>
        <v/>
      </c>
      <c r="G377" s="1785" t="str">
        <f>IF('3A.Occpcy&amp;Rent'!$D377="","",VLOOKUP($C377,'3A.Occpcy&amp;Rent'!$C$15:$L$414,5,FALSE))</f>
        <v/>
      </c>
      <c r="H377" s="1727"/>
      <c r="I377" s="1727"/>
      <c r="J377" s="1727"/>
      <c r="K377" s="1727"/>
      <c r="L377" s="1727"/>
      <c r="M377" s="1469"/>
      <c r="N377" s="1729"/>
      <c r="P377" s="1597">
        <f t="shared" si="15"/>
        <v>1</v>
      </c>
      <c r="Q377" s="1597">
        <f t="shared" si="17"/>
        <v>1</v>
      </c>
      <c r="R377">
        <f t="shared" si="16"/>
        <v>0</v>
      </c>
    </row>
    <row r="378" spans="3:18" ht="20.100000000000001" customHeight="1">
      <c r="C378" s="34">
        <v>364</v>
      </c>
      <c r="D378" s="1782" t="str">
        <f>IF('3A.Occpcy&amp;Rent'!$D378="","",VLOOKUP($C378,'3A.Occpcy&amp;Rent'!$C$15:$L$414,2,FALSE))</f>
        <v/>
      </c>
      <c r="E378" s="1783" t="str">
        <f>IF('3A.Occpcy&amp;Rent'!$D378="","",VLOOKUP($C378,'3A.Occpcy&amp;Rent'!$C$15:$L$414,3,FALSE))</f>
        <v/>
      </c>
      <c r="F378" s="1784" t="str">
        <f>IF('3A.Occpcy&amp;Rent'!$D378="","",VLOOKUP($C378,'3A.Occpcy&amp;Rent'!$C$15:$L$414,10,FALSE))</f>
        <v/>
      </c>
      <c r="G378" s="1785" t="str">
        <f>IF('3A.Occpcy&amp;Rent'!$D378="","",VLOOKUP($C378,'3A.Occpcy&amp;Rent'!$C$15:$L$414,5,FALSE))</f>
        <v/>
      </c>
      <c r="H378" s="1727"/>
      <c r="I378" s="1727"/>
      <c r="J378" s="1727"/>
      <c r="K378" s="1727"/>
      <c r="L378" s="1727"/>
      <c r="M378" s="1469"/>
      <c r="N378" s="1729"/>
      <c r="P378" s="1597">
        <f t="shared" si="15"/>
        <v>1</v>
      </c>
      <c r="Q378" s="1597">
        <f t="shared" si="17"/>
        <v>1</v>
      </c>
      <c r="R378">
        <f t="shared" si="16"/>
        <v>0</v>
      </c>
    </row>
    <row r="379" spans="3:18" ht="20.100000000000001" customHeight="1">
      <c r="C379" s="34">
        <v>365</v>
      </c>
      <c r="D379" s="1782" t="str">
        <f>IF('3A.Occpcy&amp;Rent'!$D379="","",VLOOKUP($C379,'3A.Occpcy&amp;Rent'!$C$15:$L$414,2,FALSE))</f>
        <v/>
      </c>
      <c r="E379" s="1783" t="str">
        <f>IF('3A.Occpcy&amp;Rent'!$D379="","",VLOOKUP($C379,'3A.Occpcy&amp;Rent'!$C$15:$L$414,3,FALSE))</f>
        <v/>
      </c>
      <c r="F379" s="1784" t="str">
        <f>IF('3A.Occpcy&amp;Rent'!$D379="","",VLOOKUP($C379,'3A.Occpcy&amp;Rent'!$C$15:$L$414,10,FALSE))</f>
        <v/>
      </c>
      <c r="G379" s="1785" t="str">
        <f>IF('3A.Occpcy&amp;Rent'!$D379="","",VLOOKUP($C379,'3A.Occpcy&amp;Rent'!$C$15:$L$414,5,FALSE))</f>
        <v/>
      </c>
      <c r="H379" s="1727"/>
      <c r="I379" s="1727"/>
      <c r="J379" s="1727"/>
      <c r="K379" s="1727"/>
      <c r="L379" s="1727"/>
      <c r="M379" s="1469"/>
      <c r="N379" s="1729"/>
      <c r="P379" s="1597">
        <f t="shared" si="15"/>
        <v>1</v>
      </c>
      <c r="Q379" s="1597">
        <f t="shared" si="17"/>
        <v>1</v>
      </c>
      <c r="R379">
        <f t="shared" si="16"/>
        <v>0</v>
      </c>
    </row>
    <row r="380" spans="3:18" ht="20.100000000000001" customHeight="1">
      <c r="C380" s="34">
        <v>366</v>
      </c>
      <c r="D380" s="1782" t="str">
        <f>IF('3A.Occpcy&amp;Rent'!$D380="","",VLOOKUP($C380,'3A.Occpcy&amp;Rent'!$C$15:$L$414,2,FALSE))</f>
        <v/>
      </c>
      <c r="E380" s="1783" t="str">
        <f>IF('3A.Occpcy&amp;Rent'!$D380="","",VLOOKUP($C380,'3A.Occpcy&amp;Rent'!$C$15:$L$414,3,FALSE))</f>
        <v/>
      </c>
      <c r="F380" s="1784" t="str">
        <f>IF('3A.Occpcy&amp;Rent'!$D380="","",VLOOKUP($C380,'3A.Occpcy&amp;Rent'!$C$15:$L$414,10,FALSE))</f>
        <v/>
      </c>
      <c r="G380" s="1785" t="str">
        <f>IF('3A.Occpcy&amp;Rent'!$D380="","",VLOOKUP($C380,'3A.Occpcy&amp;Rent'!$C$15:$L$414,5,FALSE))</f>
        <v/>
      </c>
      <c r="H380" s="1727"/>
      <c r="I380" s="1727"/>
      <c r="J380" s="1727"/>
      <c r="K380" s="1727"/>
      <c r="L380" s="1727"/>
      <c r="M380" s="1469"/>
      <c r="N380" s="1729"/>
      <c r="P380" s="1597">
        <f t="shared" si="15"/>
        <v>1</v>
      </c>
      <c r="Q380" s="1597">
        <f t="shared" si="17"/>
        <v>1</v>
      </c>
      <c r="R380">
        <f t="shared" si="16"/>
        <v>0</v>
      </c>
    </row>
    <row r="381" spans="3:18" ht="20.100000000000001" customHeight="1">
      <c r="C381" s="34">
        <v>367</v>
      </c>
      <c r="D381" s="1782" t="str">
        <f>IF('3A.Occpcy&amp;Rent'!$D381="","",VLOOKUP($C381,'3A.Occpcy&amp;Rent'!$C$15:$L$414,2,FALSE))</f>
        <v/>
      </c>
      <c r="E381" s="1783" t="str">
        <f>IF('3A.Occpcy&amp;Rent'!$D381="","",VLOOKUP($C381,'3A.Occpcy&amp;Rent'!$C$15:$L$414,3,FALSE))</f>
        <v/>
      </c>
      <c r="F381" s="1784" t="str">
        <f>IF('3A.Occpcy&amp;Rent'!$D381="","",VLOOKUP($C381,'3A.Occpcy&amp;Rent'!$C$15:$L$414,10,FALSE))</f>
        <v/>
      </c>
      <c r="G381" s="1785" t="str">
        <f>IF('3A.Occpcy&amp;Rent'!$D381="","",VLOOKUP($C381,'3A.Occpcy&amp;Rent'!$C$15:$L$414,5,FALSE))</f>
        <v/>
      </c>
      <c r="H381" s="1727"/>
      <c r="I381" s="1727"/>
      <c r="J381" s="1727"/>
      <c r="K381" s="1727"/>
      <c r="L381" s="1727"/>
      <c r="M381" s="1469"/>
      <c r="N381" s="1729"/>
      <c r="P381" s="1597">
        <f t="shared" si="15"/>
        <v>1</v>
      </c>
      <c r="Q381" s="1597">
        <f t="shared" si="17"/>
        <v>1</v>
      </c>
      <c r="R381">
        <f t="shared" si="16"/>
        <v>0</v>
      </c>
    </row>
    <row r="382" spans="3:18" ht="20.100000000000001" customHeight="1">
      <c r="C382" s="34">
        <v>368</v>
      </c>
      <c r="D382" s="1782" t="str">
        <f>IF('3A.Occpcy&amp;Rent'!$D382="","",VLOOKUP($C382,'3A.Occpcy&amp;Rent'!$C$15:$L$414,2,FALSE))</f>
        <v/>
      </c>
      <c r="E382" s="1783" t="str">
        <f>IF('3A.Occpcy&amp;Rent'!$D382="","",VLOOKUP($C382,'3A.Occpcy&amp;Rent'!$C$15:$L$414,3,FALSE))</f>
        <v/>
      </c>
      <c r="F382" s="1784" t="str">
        <f>IF('3A.Occpcy&amp;Rent'!$D382="","",VLOOKUP($C382,'3A.Occpcy&amp;Rent'!$C$15:$L$414,10,FALSE))</f>
        <v/>
      </c>
      <c r="G382" s="1785" t="str">
        <f>IF('3A.Occpcy&amp;Rent'!$D382="","",VLOOKUP($C382,'3A.Occpcy&amp;Rent'!$C$15:$L$414,5,FALSE))</f>
        <v/>
      </c>
      <c r="H382" s="1727"/>
      <c r="I382" s="1727"/>
      <c r="J382" s="1727"/>
      <c r="K382" s="1727"/>
      <c r="L382" s="1727"/>
      <c r="M382" s="1469"/>
      <c r="N382" s="1729"/>
      <c r="P382" s="1597">
        <f t="shared" si="15"/>
        <v>1</v>
      </c>
      <c r="Q382" s="1597">
        <f t="shared" si="17"/>
        <v>1</v>
      </c>
      <c r="R382">
        <f t="shared" si="16"/>
        <v>0</v>
      </c>
    </row>
    <row r="383" spans="3:18" ht="20.100000000000001" customHeight="1">
      <c r="C383" s="34">
        <v>369</v>
      </c>
      <c r="D383" s="1782" t="str">
        <f>IF('3A.Occpcy&amp;Rent'!$D383="","",VLOOKUP($C383,'3A.Occpcy&amp;Rent'!$C$15:$L$414,2,FALSE))</f>
        <v/>
      </c>
      <c r="E383" s="1783" t="str">
        <f>IF('3A.Occpcy&amp;Rent'!$D383="","",VLOOKUP($C383,'3A.Occpcy&amp;Rent'!$C$15:$L$414,3,FALSE))</f>
        <v/>
      </c>
      <c r="F383" s="1784" t="str">
        <f>IF('3A.Occpcy&amp;Rent'!$D383="","",VLOOKUP($C383,'3A.Occpcy&amp;Rent'!$C$15:$L$414,10,FALSE))</f>
        <v/>
      </c>
      <c r="G383" s="1785" t="str">
        <f>IF('3A.Occpcy&amp;Rent'!$D383="","",VLOOKUP($C383,'3A.Occpcy&amp;Rent'!$C$15:$L$414,5,FALSE))</f>
        <v/>
      </c>
      <c r="H383" s="1727"/>
      <c r="I383" s="1727"/>
      <c r="J383" s="1727"/>
      <c r="K383" s="1727"/>
      <c r="L383" s="1727"/>
      <c r="M383" s="1469"/>
      <c r="N383" s="1729"/>
      <c r="P383" s="1597">
        <f t="shared" si="15"/>
        <v>1</v>
      </c>
      <c r="Q383" s="1597">
        <f t="shared" si="17"/>
        <v>1</v>
      </c>
      <c r="R383">
        <f t="shared" si="16"/>
        <v>0</v>
      </c>
    </row>
    <row r="384" spans="3:18" ht="20.100000000000001" customHeight="1">
      <c r="C384" s="34">
        <v>370</v>
      </c>
      <c r="D384" s="1782" t="str">
        <f>IF('3A.Occpcy&amp;Rent'!$D384="","",VLOOKUP($C384,'3A.Occpcy&amp;Rent'!$C$15:$L$414,2,FALSE))</f>
        <v/>
      </c>
      <c r="E384" s="1783" t="str">
        <f>IF('3A.Occpcy&amp;Rent'!$D384="","",VLOOKUP($C384,'3A.Occpcy&amp;Rent'!$C$15:$L$414,3,FALSE))</f>
        <v/>
      </c>
      <c r="F384" s="1784" t="str">
        <f>IF('3A.Occpcy&amp;Rent'!$D384="","",VLOOKUP($C384,'3A.Occpcy&amp;Rent'!$C$15:$L$414,10,FALSE))</f>
        <v/>
      </c>
      <c r="G384" s="1785" t="str">
        <f>IF('3A.Occpcy&amp;Rent'!$D384="","",VLOOKUP($C384,'3A.Occpcy&amp;Rent'!$C$15:$L$414,5,FALSE))</f>
        <v/>
      </c>
      <c r="H384" s="1727"/>
      <c r="I384" s="1727"/>
      <c r="J384" s="1727"/>
      <c r="K384" s="1727"/>
      <c r="L384" s="1727"/>
      <c r="M384" s="1469"/>
      <c r="N384" s="1729"/>
      <c r="P384" s="1597">
        <f t="shared" si="15"/>
        <v>1</v>
      </c>
      <c r="Q384" s="1597">
        <f t="shared" si="17"/>
        <v>1</v>
      </c>
      <c r="R384">
        <f t="shared" si="16"/>
        <v>0</v>
      </c>
    </row>
    <row r="385" spans="3:18" ht="20.100000000000001" customHeight="1">
      <c r="C385" s="34">
        <v>371</v>
      </c>
      <c r="D385" s="1782" t="str">
        <f>IF('3A.Occpcy&amp;Rent'!$D385="","",VLOOKUP($C385,'3A.Occpcy&amp;Rent'!$C$15:$L$414,2,FALSE))</f>
        <v/>
      </c>
      <c r="E385" s="1783" t="str">
        <f>IF('3A.Occpcy&amp;Rent'!$D385="","",VLOOKUP($C385,'3A.Occpcy&amp;Rent'!$C$15:$L$414,3,FALSE))</f>
        <v/>
      </c>
      <c r="F385" s="1784" t="str">
        <f>IF('3A.Occpcy&amp;Rent'!$D385="","",VLOOKUP($C385,'3A.Occpcy&amp;Rent'!$C$15:$L$414,10,FALSE))</f>
        <v/>
      </c>
      <c r="G385" s="1785" t="str">
        <f>IF('3A.Occpcy&amp;Rent'!$D385="","",VLOOKUP($C385,'3A.Occpcy&amp;Rent'!$C$15:$L$414,5,FALSE))</f>
        <v/>
      </c>
      <c r="H385" s="1727"/>
      <c r="I385" s="1727"/>
      <c r="J385" s="1727"/>
      <c r="K385" s="1727"/>
      <c r="L385" s="1727"/>
      <c r="M385" s="1469"/>
      <c r="N385" s="1729"/>
      <c r="P385" s="1597">
        <f t="shared" si="15"/>
        <v>1</v>
      </c>
      <c r="Q385" s="1597">
        <f t="shared" si="17"/>
        <v>1</v>
      </c>
      <c r="R385">
        <f t="shared" si="16"/>
        <v>0</v>
      </c>
    </row>
    <row r="386" spans="3:18" ht="20.100000000000001" customHeight="1">
      <c r="C386" s="34">
        <v>372</v>
      </c>
      <c r="D386" s="1782" t="str">
        <f>IF('3A.Occpcy&amp;Rent'!$D386="","",VLOOKUP($C386,'3A.Occpcy&amp;Rent'!$C$15:$L$414,2,FALSE))</f>
        <v/>
      </c>
      <c r="E386" s="1783" t="str">
        <f>IF('3A.Occpcy&amp;Rent'!$D386="","",VLOOKUP($C386,'3A.Occpcy&amp;Rent'!$C$15:$L$414,3,FALSE))</f>
        <v/>
      </c>
      <c r="F386" s="1784" t="str">
        <f>IF('3A.Occpcy&amp;Rent'!$D386="","",VLOOKUP($C386,'3A.Occpcy&amp;Rent'!$C$15:$L$414,10,FALSE))</f>
        <v/>
      </c>
      <c r="G386" s="1785" t="str">
        <f>IF('3A.Occpcy&amp;Rent'!$D386="","",VLOOKUP($C386,'3A.Occpcy&amp;Rent'!$C$15:$L$414,5,FALSE))</f>
        <v/>
      </c>
      <c r="H386" s="1727"/>
      <c r="I386" s="1727"/>
      <c r="J386" s="1727"/>
      <c r="K386" s="1727"/>
      <c r="L386" s="1727"/>
      <c r="M386" s="1469"/>
      <c r="N386" s="1729"/>
      <c r="P386" s="1597">
        <f t="shared" si="15"/>
        <v>1</v>
      </c>
      <c r="Q386" s="1597">
        <f t="shared" si="17"/>
        <v>1</v>
      </c>
      <c r="R386">
        <f t="shared" si="16"/>
        <v>0</v>
      </c>
    </row>
    <row r="387" spans="3:18" ht="20.100000000000001" customHeight="1">
      <c r="C387" s="34">
        <v>373</v>
      </c>
      <c r="D387" s="1782" t="str">
        <f>IF('3A.Occpcy&amp;Rent'!$D387="","",VLOOKUP($C387,'3A.Occpcy&amp;Rent'!$C$15:$L$414,2,FALSE))</f>
        <v/>
      </c>
      <c r="E387" s="1783" t="str">
        <f>IF('3A.Occpcy&amp;Rent'!$D387="","",VLOOKUP($C387,'3A.Occpcy&amp;Rent'!$C$15:$L$414,3,FALSE))</f>
        <v/>
      </c>
      <c r="F387" s="1784" t="str">
        <f>IF('3A.Occpcy&amp;Rent'!$D387="","",VLOOKUP($C387,'3A.Occpcy&amp;Rent'!$C$15:$L$414,10,FALSE))</f>
        <v/>
      </c>
      <c r="G387" s="1785" t="str">
        <f>IF('3A.Occpcy&amp;Rent'!$D387="","",VLOOKUP($C387,'3A.Occpcy&amp;Rent'!$C$15:$L$414,5,FALSE))</f>
        <v/>
      </c>
      <c r="H387" s="1727"/>
      <c r="I387" s="1727"/>
      <c r="J387" s="1727"/>
      <c r="K387" s="1727"/>
      <c r="L387" s="1727"/>
      <c r="M387" s="1469"/>
      <c r="N387" s="1729"/>
      <c r="P387" s="1597">
        <f t="shared" si="15"/>
        <v>1</v>
      </c>
      <c r="Q387" s="1597">
        <f t="shared" si="17"/>
        <v>1</v>
      </c>
      <c r="R387">
        <f t="shared" si="16"/>
        <v>0</v>
      </c>
    </row>
    <row r="388" spans="3:18" ht="20.100000000000001" customHeight="1">
      <c r="C388" s="34">
        <v>374</v>
      </c>
      <c r="D388" s="1782" t="str">
        <f>IF('3A.Occpcy&amp;Rent'!$D388="","",VLOOKUP($C388,'3A.Occpcy&amp;Rent'!$C$15:$L$414,2,FALSE))</f>
        <v/>
      </c>
      <c r="E388" s="1783" t="str">
        <f>IF('3A.Occpcy&amp;Rent'!$D388="","",VLOOKUP($C388,'3A.Occpcy&amp;Rent'!$C$15:$L$414,3,FALSE))</f>
        <v/>
      </c>
      <c r="F388" s="1784" t="str">
        <f>IF('3A.Occpcy&amp;Rent'!$D388="","",VLOOKUP($C388,'3A.Occpcy&amp;Rent'!$C$15:$L$414,10,FALSE))</f>
        <v/>
      </c>
      <c r="G388" s="1785" t="str">
        <f>IF('3A.Occpcy&amp;Rent'!$D388="","",VLOOKUP($C388,'3A.Occpcy&amp;Rent'!$C$15:$L$414,5,FALSE))</f>
        <v/>
      </c>
      <c r="H388" s="1727"/>
      <c r="I388" s="1727"/>
      <c r="J388" s="1727"/>
      <c r="K388" s="1727"/>
      <c r="L388" s="1727"/>
      <c r="M388" s="1469"/>
      <c r="N388" s="1729"/>
      <c r="P388" s="1597">
        <f t="shared" si="15"/>
        <v>1</v>
      </c>
      <c r="Q388" s="1597">
        <f t="shared" si="17"/>
        <v>1</v>
      </c>
      <c r="R388">
        <f t="shared" si="16"/>
        <v>0</v>
      </c>
    </row>
    <row r="389" spans="3:18" ht="20.100000000000001" customHeight="1">
      <c r="C389" s="34">
        <v>375</v>
      </c>
      <c r="D389" s="1782" t="str">
        <f>IF('3A.Occpcy&amp;Rent'!$D389="","",VLOOKUP($C389,'3A.Occpcy&amp;Rent'!$C$15:$L$414,2,FALSE))</f>
        <v/>
      </c>
      <c r="E389" s="1783" t="str">
        <f>IF('3A.Occpcy&amp;Rent'!$D389="","",VLOOKUP($C389,'3A.Occpcy&amp;Rent'!$C$15:$L$414,3,FALSE))</f>
        <v/>
      </c>
      <c r="F389" s="1784" t="str">
        <f>IF('3A.Occpcy&amp;Rent'!$D389="","",VLOOKUP($C389,'3A.Occpcy&amp;Rent'!$C$15:$L$414,10,FALSE))</f>
        <v/>
      </c>
      <c r="G389" s="1785" t="str">
        <f>IF('3A.Occpcy&amp;Rent'!$D389="","",VLOOKUP($C389,'3A.Occpcy&amp;Rent'!$C$15:$L$414,5,FALSE))</f>
        <v/>
      </c>
      <c r="H389" s="1727"/>
      <c r="I389" s="1727"/>
      <c r="J389" s="1727"/>
      <c r="K389" s="1727"/>
      <c r="L389" s="1727"/>
      <c r="M389" s="1469"/>
      <c r="N389" s="1729"/>
      <c r="P389" s="1597">
        <f t="shared" si="15"/>
        <v>1</v>
      </c>
      <c r="Q389" s="1597">
        <f t="shared" si="17"/>
        <v>1</v>
      </c>
      <c r="R389">
        <f t="shared" si="16"/>
        <v>0</v>
      </c>
    </row>
    <row r="390" spans="3:18" ht="20.100000000000001" customHeight="1">
      <c r="C390" s="34">
        <v>376</v>
      </c>
      <c r="D390" s="1782" t="str">
        <f>IF('3A.Occpcy&amp;Rent'!$D390="","",VLOOKUP($C390,'3A.Occpcy&amp;Rent'!$C$15:$L$414,2,FALSE))</f>
        <v/>
      </c>
      <c r="E390" s="1783" t="str">
        <f>IF('3A.Occpcy&amp;Rent'!$D390="","",VLOOKUP($C390,'3A.Occpcy&amp;Rent'!$C$15:$L$414,3,FALSE))</f>
        <v/>
      </c>
      <c r="F390" s="1784" t="str">
        <f>IF('3A.Occpcy&amp;Rent'!$D390="","",VLOOKUP($C390,'3A.Occpcy&amp;Rent'!$C$15:$L$414,10,FALSE))</f>
        <v/>
      </c>
      <c r="G390" s="1785" t="str">
        <f>IF('3A.Occpcy&amp;Rent'!$D390="","",VLOOKUP($C390,'3A.Occpcy&amp;Rent'!$C$15:$L$414,5,FALSE))</f>
        <v/>
      </c>
      <c r="H390" s="1727"/>
      <c r="I390" s="1727"/>
      <c r="J390" s="1727"/>
      <c r="K390" s="1727"/>
      <c r="L390" s="1727"/>
      <c r="M390" s="1469"/>
      <c r="N390" s="1729"/>
      <c r="P390" s="1597">
        <f t="shared" si="15"/>
        <v>1</v>
      </c>
      <c r="Q390" s="1597">
        <f t="shared" si="17"/>
        <v>1</v>
      </c>
      <c r="R390">
        <f t="shared" si="16"/>
        <v>0</v>
      </c>
    </row>
    <row r="391" spans="3:18" ht="20.100000000000001" customHeight="1">
      <c r="C391" s="34">
        <v>377</v>
      </c>
      <c r="D391" s="1782" t="str">
        <f>IF('3A.Occpcy&amp;Rent'!$D391="","",VLOOKUP($C391,'3A.Occpcy&amp;Rent'!$C$15:$L$414,2,FALSE))</f>
        <v/>
      </c>
      <c r="E391" s="1783" t="str">
        <f>IF('3A.Occpcy&amp;Rent'!$D391="","",VLOOKUP($C391,'3A.Occpcy&amp;Rent'!$C$15:$L$414,3,FALSE))</f>
        <v/>
      </c>
      <c r="F391" s="1784" t="str">
        <f>IF('3A.Occpcy&amp;Rent'!$D391="","",VLOOKUP($C391,'3A.Occpcy&amp;Rent'!$C$15:$L$414,10,FALSE))</f>
        <v/>
      </c>
      <c r="G391" s="1785" t="str">
        <f>IF('3A.Occpcy&amp;Rent'!$D391="","",VLOOKUP($C391,'3A.Occpcy&amp;Rent'!$C$15:$L$414,5,FALSE))</f>
        <v/>
      </c>
      <c r="H391" s="1727"/>
      <c r="I391" s="1727"/>
      <c r="J391" s="1727"/>
      <c r="K391" s="1727"/>
      <c r="L391" s="1727"/>
      <c r="M391" s="1469"/>
      <c r="N391" s="1729"/>
      <c r="P391" s="1597">
        <f t="shared" si="15"/>
        <v>1</v>
      </c>
      <c r="Q391" s="1597">
        <f t="shared" si="17"/>
        <v>1</v>
      </c>
      <c r="R391">
        <f t="shared" si="16"/>
        <v>0</v>
      </c>
    </row>
    <row r="392" spans="3:18" ht="20.100000000000001" customHeight="1">
      <c r="C392" s="34">
        <v>378</v>
      </c>
      <c r="D392" s="1782" t="str">
        <f>IF('3A.Occpcy&amp;Rent'!$D392="","",VLOOKUP($C392,'3A.Occpcy&amp;Rent'!$C$15:$L$414,2,FALSE))</f>
        <v/>
      </c>
      <c r="E392" s="1783" t="str">
        <f>IF('3A.Occpcy&amp;Rent'!$D392="","",VLOOKUP($C392,'3A.Occpcy&amp;Rent'!$C$15:$L$414,3,FALSE))</f>
        <v/>
      </c>
      <c r="F392" s="1784" t="str">
        <f>IF('3A.Occpcy&amp;Rent'!$D392="","",VLOOKUP($C392,'3A.Occpcy&amp;Rent'!$C$15:$L$414,10,FALSE))</f>
        <v/>
      </c>
      <c r="G392" s="1785" t="str">
        <f>IF('3A.Occpcy&amp;Rent'!$D392="","",VLOOKUP($C392,'3A.Occpcy&amp;Rent'!$C$15:$L$414,5,FALSE))</f>
        <v/>
      </c>
      <c r="H392" s="1727"/>
      <c r="I392" s="1727"/>
      <c r="J392" s="1727"/>
      <c r="K392" s="1727"/>
      <c r="L392" s="1727"/>
      <c r="M392" s="1469"/>
      <c r="N392" s="1729"/>
      <c r="P392" s="1597">
        <f t="shared" si="15"/>
        <v>1</v>
      </c>
      <c r="Q392" s="1597">
        <f t="shared" si="17"/>
        <v>1</v>
      </c>
      <c r="R392">
        <f t="shared" si="16"/>
        <v>0</v>
      </c>
    </row>
    <row r="393" spans="3:18" ht="20.100000000000001" customHeight="1">
      <c r="C393" s="34">
        <v>379</v>
      </c>
      <c r="D393" s="1782" t="str">
        <f>IF('3A.Occpcy&amp;Rent'!$D393="","",VLOOKUP($C393,'3A.Occpcy&amp;Rent'!$C$15:$L$414,2,FALSE))</f>
        <v/>
      </c>
      <c r="E393" s="1783" t="str">
        <f>IF('3A.Occpcy&amp;Rent'!$D393="","",VLOOKUP($C393,'3A.Occpcy&amp;Rent'!$C$15:$L$414,3,FALSE))</f>
        <v/>
      </c>
      <c r="F393" s="1784" t="str">
        <f>IF('3A.Occpcy&amp;Rent'!$D393="","",VLOOKUP($C393,'3A.Occpcy&amp;Rent'!$C$15:$L$414,10,FALSE))</f>
        <v/>
      </c>
      <c r="G393" s="1785" t="str">
        <f>IF('3A.Occpcy&amp;Rent'!$D393="","",VLOOKUP($C393,'3A.Occpcy&amp;Rent'!$C$15:$L$414,5,FALSE))</f>
        <v/>
      </c>
      <c r="H393" s="1727"/>
      <c r="I393" s="1727"/>
      <c r="J393" s="1727"/>
      <c r="K393" s="1727"/>
      <c r="L393" s="1727"/>
      <c r="M393" s="1469"/>
      <c r="N393" s="1729"/>
      <c r="P393" s="1597">
        <f t="shared" si="15"/>
        <v>1</v>
      </c>
      <c r="Q393" s="1597">
        <f t="shared" si="17"/>
        <v>1</v>
      </c>
      <c r="R393">
        <f t="shared" si="16"/>
        <v>0</v>
      </c>
    </row>
    <row r="394" spans="3:18" ht="20.100000000000001" customHeight="1">
      <c r="C394" s="34">
        <v>380</v>
      </c>
      <c r="D394" s="1782" t="str">
        <f>IF('3A.Occpcy&amp;Rent'!$D394="","",VLOOKUP($C394,'3A.Occpcy&amp;Rent'!$C$15:$L$414,2,FALSE))</f>
        <v/>
      </c>
      <c r="E394" s="1783" t="str">
        <f>IF('3A.Occpcy&amp;Rent'!$D394="","",VLOOKUP($C394,'3A.Occpcy&amp;Rent'!$C$15:$L$414,3,FALSE))</f>
        <v/>
      </c>
      <c r="F394" s="1784" t="str">
        <f>IF('3A.Occpcy&amp;Rent'!$D394="","",VLOOKUP($C394,'3A.Occpcy&amp;Rent'!$C$15:$L$414,10,FALSE))</f>
        <v/>
      </c>
      <c r="G394" s="1785" t="str">
        <f>IF('3A.Occpcy&amp;Rent'!$D394="","",VLOOKUP($C394,'3A.Occpcy&amp;Rent'!$C$15:$L$414,5,FALSE))</f>
        <v/>
      </c>
      <c r="H394" s="1727"/>
      <c r="I394" s="1727"/>
      <c r="J394" s="1727"/>
      <c r="K394" s="1727"/>
      <c r="L394" s="1727"/>
      <c r="M394" s="1469"/>
      <c r="N394" s="1729"/>
      <c r="P394" s="1597">
        <f t="shared" si="15"/>
        <v>1</v>
      </c>
      <c r="Q394" s="1597">
        <f t="shared" si="17"/>
        <v>1</v>
      </c>
      <c r="R394">
        <f t="shared" si="16"/>
        <v>0</v>
      </c>
    </row>
    <row r="395" spans="3:18" ht="20.100000000000001" customHeight="1">
      <c r="C395" s="34">
        <v>381</v>
      </c>
      <c r="D395" s="1782" t="str">
        <f>IF('3A.Occpcy&amp;Rent'!$D395="","",VLOOKUP($C395,'3A.Occpcy&amp;Rent'!$C$15:$L$414,2,FALSE))</f>
        <v/>
      </c>
      <c r="E395" s="1783" t="str">
        <f>IF('3A.Occpcy&amp;Rent'!$D395="","",VLOOKUP($C395,'3A.Occpcy&amp;Rent'!$C$15:$L$414,3,FALSE))</f>
        <v/>
      </c>
      <c r="F395" s="1784" t="str">
        <f>IF('3A.Occpcy&amp;Rent'!$D395="","",VLOOKUP($C395,'3A.Occpcy&amp;Rent'!$C$15:$L$414,10,FALSE))</f>
        <v/>
      </c>
      <c r="G395" s="1785" t="str">
        <f>IF('3A.Occpcy&amp;Rent'!$D395="","",VLOOKUP($C395,'3A.Occpcy&amp;Rent'!$C$15:$L$414,5,FALSE))</f>
        <v/>
      </c>
      <c r="H395" s="1727"/>
      <c r="I395" s="1727"/>
      <c r="J395" s="1727"/>
      <c r="K395" s="1727"/>
      <c r="L395" s="1727"/>
      <c r="M395" s="1469"/>
      <c r="N395" s="1729"/>
      <c r="P395" s="1597">
        <f t="shared" si="15"/>
        <v>1</v>
      </c>
      <c r="Q395" s="1597">
        <f t="shared" si="17"/>
        <v>1</v>
      </c>
      <c r="R395">
        <f t="shared" si="16"/>
        <v>0</v>
      </c>
    </row>
    <row r="396" spans="3:18" ht="20.100000000000001" customHeight="1">
      <c r="C396" s="34">
        <v>382</v>
      </c>
      <c r="D396" s="1782" t="str">
        <f>IF('3A.Occpcy&amp;Rent'!$D396="","",VLOOKUP($C396,'3A.Occpcy&amp;Rent'!$C$15:$L$414,2,FALSE))</f>
        <v/>
      </c>
      <c r="E396" s="1783" t="str">
        <f>IF('3A.Occpcy&amp;Rent'!$D396="","",VLOOKUP($C396,'3A.Occpcy&amp;Rent'!$C$15:$L$414,3,FALSE))</f>
        <v/>
      </c>
      <c r="F396" s="1784" t="str">
        <f>IF('3A.Occpcy&amp;Rent'!$D396="","",VLOOKUP($C396,'3A.Occpcy&amp;Rent'!$C$15:$L$414,10,FALSE))</f>
        <v/>
      </c>
      <c r="G396" s="1785" t="str">
        <f>IF('3A.Occpcy&amp;Rent'!$D396="","",VLOOKUP($C396,'3A.Occpcy&amp;Rent'!$C$15:$L$414,5,FALSE))</f>
        <v/>
      </c>
      <c r="H396" s="1727"/>
      <c r="I396" s="1727"/>
      <c r="J396" s="1727"/>
      <c r="K396" s="1727"/>
      <c r="L396" s="1727"/>
      <c r="M396" s="1469"/>
      <c r="N396" s="1729"/>
      <c r="P396" s="1597">
        <f t="shared" si="15"/>
        <v>1</v>
      </c>
      <c r="Q396" s="1597">
        <f t="shared" si="17"/>
        <v>1</v>
      </c>
      <c r="R396">
        <f t="shared" si="16"/>
        <v>0</v>
      </c>
    </row>
    <row r="397" spans="3:18" ht="20.100000000000001" customHeight="1">
      <c r="C397" s="34">
        <v>383</v>
      </c>
      <c r="D397" s="1782" t="str">
        <f>IF('3A.Occpcy&amp;Rent'!$D397="","",VLOOKUP($C397,'3A.Occpcy&amp;Rent'!$C$15:$L$414,2,FALSE))</f>
        <v/>
      </c>
      <c r="E397" s="1783" t="str">
        <f>IF('3A.Occpcy&amp;Rent'!$D397="","",VLOOKUP($C397,'3A.Occpcy&amp;Rent'!$C$15:$L$414,3,FALSE))</f>
        <v/>
      </c>
      <c r="F397" s="1784" t="str">
        <f>IF('3A.Occpcy&amp;Rent'!$D397="","",VLOOKUP($C397,'3A.Occpcy&amp;Rent'!$C$15:$L$414,10,FALSE))</f>
        <v/>
      </c>
      <c r="G397" s="1785" t="str">
        <f>IF('3A.Occpcy&amp;Rent'!$D397="","",VLOOKUP($C397,'3A.Occpcy&amp;Rent'!$C$15:$L$414,5,FALSE))</f>
        <v/>
      </c>
      <c r="H397" s="1727"/>
      <c r="I397" s="1727"/>
      <c r="J397" s="1727"/>
      <c r="K397" s="1727"/>
      <c r="L397" s="1727"/>
      <c r="M397" s="1469"/>
      <c r="N397" s="1729"/>
      <c r="P397" s="1597">
        <f t="shared" si="15"/>
        <v>1</v>
      </c>
      <c r="Q397" s="1597">
        <f t="shared" si="17"/>
        <v>1</v>
      </c>
      <c r="R397">
        <f t="shared" si="16"/>
        <v>0</v>
      </c>
    </row>
    <row r="398" spans="3:18" ht="20.100000000000001" customHeight="1">
      <c r="C398" s="34">
        <v>384</v>
      </c>
      <c r="D398" s="1782" t="str">
        <f>IF('3A.Occpcy&amp;Rent'!$D398="","",VLOOKUP($C398,'3A.Occpcy&amp;Rent'!$C$15:$L$414,2,FALSE))</f>
        <v/>
      </c>
      <c r="E398" s="1783" t="str">
        <f>IF('3A.Occpcy&amp;Rent'!$D398="","",VLOOKUP($C398,'3A.Occpcy&amp;Rent'!$C$15:$L$414,3,FALSE))</f>
        <v/>
      </c>
      <c r="F398" s="1784" t="str">
        <f>IF('3A.Occpcy&amp;Rent'!$D398="","",VLOOKUP($C398,'3A.Occpcy&amp;Rent'!$C$15:$L$414,10,FALSE))</f>
        <v/>
      </c>
      <c r="G398" s="1785" t="str">
        <f>IF('3A.Occpcy&amp;Rent'!$D398="","",VLOOKUP($C398,'3A.Occpcy&amp;Rent'!$C$15:$L$414,5,FALSE))</f>
        <v/>
      </c>
      <c r="H398" s="1727"/>
      <c r="I398" s="1727"/>
      <c r="J398" s="1727"/>
      <c r="K398" s="1727"/>
      <c r="L398" s="1727"/>
      <c r="M398" s="1469"/>
      <c r="N398" s="1729"/>
      <c r="P398" s="1597">
        <f t="shared" si="15"/>
        <v>1</v>
      </c>
      <c r="Q398" s="1597">
        <f t="shared" si="17"/>
        <v>1</v>
      </c>
      <c r="R398">
        <f t="shared" si="16"/>
        <v>0</v>
      </c>
    </row>
    <row r="399" spans="3:18" ht="20.100000000000001" customHeight="1">
      <c r="C399" s="34">
        <v>385</v>
      </c>
      <c r="D399" s="1782" t="str">
        <f>IF('3A.Occpcy&amp;Rent'!$D399="","",VLOOKUP($C399,'3A.Occpcy&amp;Rent'!$C$15:$L$414,2,FALSE))</f>
        <v/>
      </c>
      <c r="E399" s="1783" t="str">
        <f>IF('3A.Occpcy&amp;Rent'!$D399="","",VLOOKUP($C399,'3A.Occpcy&amp;Rent'!$C$15:$L$414,3,FALSE))</f>
        <v/>
      </c>
      <c r="F399" s="1784" t="str">
        <f>IF('3A.Occpcy&amp;Rent'!$D399="","",VLOOKUP($C399,'3A.Occpcy&amp;Rent'!$C$15:$L$414,10,FALSE))</f>
        <v/>
      </c>
      <c r="G399" s="1785" t="str">
        <f>IF('3A.Occpcy&amp;Rent'!$D399="","",VLOOKUP($C399,'3A.Occpcy&amp;Rent'!$C$15:$L$414,5,FALSE))</f>
        <v/>
      </c>
      <c r="H399" s="1727"/>
      <c r="I399" s="1727"/>
      <c r="J399" s="1727"/>
      <c r="K399" s="1727"/>
      <c r="L399" s="1727"/>
      <c r="M399" s="1469"/>
      <c r="N399" s="1729"/>
      <c r="P399" s="1597">
        <f t="shared" ref="P399:P414" si="18">IF(AND(D399&lt;&gt;0,H399&lt;&gt;0,I399&lt;&gt;0),1,IF(AND(D399="",H399="",I399=""),1,0))</f>
        <v>1</v>
      </c>
      <c r="Q399" s="1597">
        <f t="shared" si="17"/>
        <v>1</v>
      </c>
      <c r="R399">
        <f t="shared" ref="R399:R414" si="19">IF(H399=$V$14,$V$14,IF(OR(AND(H399=$V$15,I399=$W$24),AND(H399=$V$16,I399=$W$24)),$W$24,IF(OR(AND(H399=$V$15,I399&lt;&gt;$W$24),AND(H399=$V$16,I399&lt;&gt;$W$24)),I399,0)))</f>
        <v>0</v>
      </c>
    </row>
    <row r="400" spans="3:18" ht="20.100000000000001" customHeight="1">
      <c r="C400" s="34">
        <v>386</v>
      </c>
      <c r="D400" s="1782" t="str">
        <f>IF('3A.Occpcy&amp;Rent'!$D400="","",VLOOKUP($C400,'3A.Occpcy&amp;Rent'!$C$15:$L$414,2,FALSE))</f>
        <v/>
      </c>
      <c r="E400" s="1783" t="str">
        <f>IF('3A.Occpcy&amp;Rent'!$D400="","",VLOOKUP($C400,'3A.Occpcy&amp;Rent'!$C$15:$L$414,3,FALSE))</f>
        <v/>
      </c>
      <c r="F400" s="1784" t="str">
        <f>IF('3A.Occpcy&amp;Rent'!$D400="","",VLOOKUP($C400,'3A.Occpcy&amp;Rent'!$C$15:$L$414,10,FALSE))</f>
        <v/>
      </c>
      <c r="G400" s="1785" t="str">
        <f>IF('3A.Occpcy&amp;Rent'!$D400="","",VLOOKUP($C400,'3A.Occpcy&amp;Rent'!$C$15:$L$414,5,FALSE))</f>
        <v/>
      </c>
      <c r="H400" s="1727"/>
      <c r="I400" s="1727"/>
      <c r="J400" s="1727"/>
      <c r="K400" s="1727"/>
      <c r="L400" s="1727"/>
      <c r="M400" s="1469"/>
      <c r="N400" s="1729"/>
      <c r="P400" s="1597">
        <f t="shared" si="18"/>
        <v>1</v>
      </c>
      <c r="Q400" s="1597">
        <f t="shared" ref="Q400:Q414" si="20">IF(AND(D400&lt;&gt;0,J400&lt;&gt;0,K400&lt;&gt;0),1,IF(AND(D400="",J400="",K400=""),1,0))</f>
        <v>1</v>
      </c>
      <c r="R400">
        <f t="shared" si="19"/>
        <v>0</v>
      </c>
    </row>
    <row r="401" spans="3:18" ht="20.100000000000001" customHeight="1">
      <c r="C401" s="34">
        <v>387</v>
      </c>
      <c r="D401" s="1782" t="str">
        <f>IF('3A.Occpcy&amp;Rent'!$D401="","",VLOOKUP($C401,'3A.Occpcy&amp;Rent'!$C$15:$L$414,2,FALSE))</f>
        <v/>
      </c>
      <c r="E401" s="1783" t="str">
        <f>IF('3A.Occpcy&amp;Rent'!$D401="","",VLOOKUP($C401,'3A.Occpcy&amp;Rent'!$C$15:$L$414,3,FALSE))</f>
        <v/>
      </c>
      <c r="F401" s="1784" t="str">
        <f>IF('3A.Occpcy&amp;Rent'!$D401="","",VLOOKUP($C401,'3A.Occpcy&amp;Rent'!$C$15:$L$414,10,FALSE))</f>
        <v/>
      </c>
      <c r="G401" s="1785" t="str">
        <f>IF('3A.Occpcy&amp;Rent'!$D401="","",VLOOKUP($C401,'3A.Occpcy&amp;Rent'!$C$15:$L$414,5,FALSE))</f>
        <v/>
      </c>
      <c r="H401" s="1727"/>
      <c r="I401" s="1727"/>
      <c r="J401" s="1727"/>
      <c r="K401" s="1727"/>
      <c r="L401" s="1727"/>
      <c r="M401" s="1469"/>
      <c r="N401" s="1729"/>
      <c r="P401" s="1597">
        <f t="shared" si="18"/>
        <v>1</v>
      </c>
      <c r="Q401" s="1597">
        <f t="shared" si="20"/>
        <v>1</v>
      </c>
      <c r="R401">
        <f t="shared" si="19"/>
        <v>0</v>
      </c>
    </row>
    <row r="402" spans="3:18" ht="20.100000000000001" customHeight="1">
      <c r="C402" s="34">
        <v>388</v>
      </c>
      <c r="D402" s="1782" t="str">
        <f>IF('3A.Occpcy&amp;Rent'!$D402="","",VLOOKUP($C402,'3A.Occpcy&amp;Rent'!$C$15:$L$414,2,FALSE))</f>
        <v/>
      </c>
      <c r="E402" s="1783" t="str">
        <f>IF('3A.Occpcy&amp;Rent'!$D402="","",VLOOKUP($C402,'3A.Occpcy&amp;Rent'!$C$15:$L$414,3,FALSE))</f>
        <v/>
      </c>
      <c r="F402" s="1784" t="str">
        <f>IF('3A.Occpcy&amp;Rent'!$D402="","",VLOOKUP($C402,'3A.Occpcy&amp;Rent'!$C$15:$L$414,10,FALSE))</f>
        <v/>
      </c>
      <c r="G402" s="1785" t="str">
        <f>IF('3A.Occpcy&amp;Rent'!$D402="","",VLOOKUP($C402,'3A.Occpcy&amp;Rent'!$C$15:$L$414,5,FALSE))</f>
        <v/>
      </c>
      <c r="H402" s="1727"/>
      <c r="I402" s="1727"/>
      <c r="J402" s="1727"/>
      <c r="K402" s="1727"/>
      <c r="L402" s="1727"/>
      <c r="M402" s="1469"/>
      <c r="N402" s="1729"/>
      <c r="P402" s="1597">
        <f t="shared" si="18"/>
        <v>1</v>
      </c>
      <c r="Q402" s="1597">
        <f t="shared" si="20"/>
        <v>1</v>
      </c>
      <c r="R402">
        <f t="shared" si="19"/>
        <v>0</v>
      </c>
    </row>
    <row r="403" spans="3:18" ht="20.100000000000001" customHeight="1">
      <c r="C403" s="34">
        <v>389</v>
      </c>
      <c r="D403" s="1782" t="str">
        <f>IF('3A.Occpcy&amp;Rent'!$D403="","",VLOOKUP($C403,'3A.Occpcy&amp;Rent'!$C$15:$L$414,2,FALSE))</f>
        <v/>
      </c>
      <c r="E403" s="1783" t="str">
        <f>IF('3A.Occpcy&amp;Rent'!$D403="","",VLOOKUP($C403,'3A.Occpcy&amp;Rent'!$C$15:$L$414,3,FALSE))</f>
        <v/>
      </c>
      <c r="F403" s="1784" t="str">
        <f>IF('3A.Occpcy&amp;Rent'!$D403="","",VLOOKUP($C403,'3A.Occpcy&amp;Rent'!$C$15:$L$414,10,FALSE))</f>
        <v/>
      </c>
      <c r="G403" s="1785" t="str">
        <f>IF('3A.Occpcy&amp;Rent'!$D403="","",VLOOKUP($C403,'3A.Occpcy&amp;Rent'!$C$15:$L$414,5,FALSE))</f>
        <v/>
      </c>
      <c r="H403" s="1727"/>
      <c r="I403" s="1727"/>
      <c r="J403" s="1727"/>
      <c r="K403" s="1727"/>
      <c r="L403" s="1727"/>
      <c r="M403" s="1469"/>
      <c r="N403" s="1729"/>
      <c r="P403" s="1597">
        <f t="shared" si="18"/>
        <v>1</v>
      </c>
      <c r="Q403" s="1597">
        <f t="shared" si="20"/>
        <v>1</v>
      </c>
      <c r="R403">
        <f t="shared" si="19"/>
        <v>0</v>
      </c>
    </row>
    <row r="404" spans="3:18" ht="20.100000000000001" customHeight="1">
      <c r="C404" s="34">
        <v>390</v>
      </c>
      <c r="D404" s="1782" t="str">
        <f>IF('3A.Occpcy&amp;Rent'!$D404="","",VLOOKUP($C404,'3A.Occpcy&amp;Rent'!$C$15:$L$414,2,FALSE))</f>
        <v/>
      </c>
      <c r="E404" s="1783" t="str">
        <f>IF('3A.Occpcy&amp;Rent'!$D404="","",VLOOKUP($C404,'3A.Occpcy&amp;Rent'!$C$15:$L$414,3,FALSE))</f>
        <v/>
      </c>
      <c r="F404" s="1784" t="str">
        <f>IF('3A.Occpcy&amp;Rent'!$D404="","",VLOOKUP($C404,'3A.Occpcy&amp;Rent'!$C$15:$L$414,10,FALSE))</f>
        <v/>
      </c>
      <c r="G404" s="1785" t="str">
        <f>IF('3A.Occpcy&amp;Rent'!$D404="","",VLOOKUP($C404,'3A.Occpcy&amp;Rent'!$C$15:$L$414,5,FALSE))</f>
        <v/>
      </c>
      <c r="H404" s="1727"/>
      <c r="I404" s="1727"/>
      <c r="J404" s="1727"/>
      <c r="K404" s="1727"/>
      <c r="L404" s="1727"/>
      <c r="M404" s="1469"/>
      <c r="N404" s="1729"/>
      <c r="P404" s="1597">
        <f t="shared" si="18"/>
        <v>1</v>
      </c>
      <c r="Q404" s="1597">
        <f t="shared" si="20"/>
        <v>1</v>
      </c>
      <c r="R404">
        <f t="shared" si="19"/>
        <v>0</v>
      </c>
    </row>
    <row r="405" spans="3:18" ht="20.100000000000001" customHeight="1">
      <c r="C405" s="34">
        <v>391</v>
      </c>
      <c r="D405" s="1782" t="str">
        <f>IF('3A.Occpcy&amp;Rent'!$D405="","",VLOOKUP($C405,'3A.Occpcy&amp;Rent'!$C$15:$L$414,2,FALSE))</f>
        <v/>
      </c>
      <c r="E405" s="1783" t="str">
        <f>IF('3A.Occpcy&amp;Rent'!$D405="","",VLOOKUP($C405,'3A.Occpcy&amp;Rent'!$C$15:$L$414,3,FALSE))</f>
        <v/>
      </c>
      <c r="F405" s="1784" t="str">
        <f>IF('3A.Occpcy&amp;Rent'!$D405="","",VLOOKUP($C405,'3A.Occpcy&amp;Rent'!$C$15:$L$414,10,FALSE))</f>
        <v/>
      </c>
      <c r="G405" s="1785" t="str">
        <f>IF('3A.Occpcy&amp;Rent'!$D405="","",VLOOKUP($C405,'3A.Occpcy&amp;Rent'!$C$15:$L$414,5,FALSE))</f>
        <v/>
      </c>
      <c r="H405" s="1727"/>
      <c r="I405" s="1727"/>
      <c r="J405" s="1727"/>
      <c r="K405" s="1727"/>
      <c r="L405" s="1727"/>
      <c r="M405" s="1469"/>
      <c r="N405" s="1729"/>
      <c r="P405" s="1597">
        <f t="shared" si="18"/>
        <v>1</v>
      </c>
      <c r="Q405" s="1597">
        <f t="shared" si="20"/>
        <v>1</v>
      </c>
      <c r="R405">
        <f t="shared" si="19"/>
        <v>0</v>
      </c>
    </row>
    <row r="406" spans="3:18" ht="20.100000000000001" customHeight="1">
      <c r="C406" s="34">
        <v>392</v>
      </c>
      <c r="D406" s="1782" t="str">
        <f>IF('3A.Occpcy&amp;Rent'!$D406="","",VLOOKUP($C406,'3A.Occpcy&amp;Rent'!$C$15:$L$414,2,FALSE))</f>
        <v/>
      </c>
      <c r="E406" s="1783" t="str">
        <f>IF('3A.Occpcy&amp;Rent'!$D406="","",VLOOKUP($C406,'3A.Occpcy&amp;Rent'!$C$15:$L$414,3,FALSE))</f>
        <v/>
      </c>
      <c r="F406" s="1784" t="str">
        <f>IF('3A.Occpcy&amp;Rent'!$D406="","",VLOOKUP($C406,'3A.Occpcy&amp;Rent'!$C$15:$L$414,10,FALSE))</f>
        <v/>
      </c>
      <c r="G406" s="1785" t="str">
        <f>IF('3A.Occpcy&amp;Rent'!$D406="","",VLOOKUP($C406,'3A.Occpcy&amp;Rent'!$C$15:$L$414,5,FALSE))</f>
        <v/>
      </c>
      <c r="H406" s="1727"/>
      <c r="I406" s="1727"/>
      <c r="J406" s="1727"/>
      <c r="K406" s="1727"/>
      <c r="L406" s="1727"/>
      <c r="M406" s="1469"/>
      <c r="N406" s="1729"/>
      <c r="P406" s="1597">
        <f t="shared" si="18"/>
        <v>1</v>
      </c>
      <c r="Q406" s="1597">
        <f t="shared" si="20"/>
        <v>1</v>
      </c>
      <c r="R406">
        <f t="shared" si="19"/>
        <v>0</v>
      </c>
    </row>
    <row r="407" spans="3:18" ht="20.100000000000001" customHeight="1">
      <c r="C407" s="34">
        <v>393</v>
      </c>
      <c r="D407" s="1782" t="str">
        <f>IF('3A.Occpcy&amp;Rent'!$D407="","",VLOOKUP($C407,'3A.Occpcy&amp;Rent'!$C$15:$L$414,2,FALSE))</f>
        <v/>
      </c>
      <c r="E407" s="1783" t="str">
        <f>IF('3A.Occpcy&amp;Rent'!$D407="","",VLOOKUP($C407,'3A.Occpcy&amp;Rent'!$C$15:$L$414,3,FALSE))</f>
        <v/>
      </c>
      <c r="F407" s="1784" t="str">
        <f>IF('3A.Occpcy&amp;Rent'!$D407="","",VLOOKUP($C407,'3A.Occpcy&amp;Rent'!$C$15:$L$414,10,FALSE))</f>
        <v/>
      </c>
      <c r="G407" s="1785" t="str">
        <f>IF('3A.Occpcy&amp;Rent'!$D407="","",VLOOKUP($C407,'3A.Occpcy&amp;Rent'!$C$15:$L$414,5,FALSE))</f>
        <v/>
      </c>
      <c r="H407" s="1727"/>
      <c r="I407" s="1727"/>
      <c r="J407" s="1727"/>
      <c r="K407" s="1727"/>
      <c r="L407" s="1727"/>
      <c r="M407" s="1469"/>
      <c r="N407" s="1729"/>
      <c r="P407" s="1597">
        <f t="shared" si="18"/>
        <v>1</v>
      </c>
      <c r="Q407" s="1597">
        <f t="shared" si="20"/>
        <v>1</v>
      </c>
      <c r="R407">
        <f t="shared" si="19"/>
        <v>0</v>
      </c>
    </row>
    <row r="408" spans="3:18" ht="20.100000000000001" customHeight="1">
      <c r="C408" s="34">
        <v>394</v>
      </c>
      <c r="D408" s="1782" t="str">
        <f>IF('3A.Occpcy&amp;Rent'!$D408="","",VLOOKUP($C408,'3A.Occpcy&amp;Rent'!$C$15:$L$414,2,FALSE))</f>
        <v/>
      </c>
      <c r="E408" s="1783" t="str">
        <f>IF('3A.Occpcy&amp;Rent'!$D408="","",VLOOKUP($C408,'3A.Occpcy&amp;Rent'!$C$15:$L$414,3,FALSE))</f>
        <v/>
      </c>
      <c r="F408" s="1784" t="str">
        <f>IF('3A.Occpcy&amp;Rent'!$D408="","",VLOOKUP($C408,'3A.Occpcy&amp;Rent'!$C$15:$L$414,10,FALSE))</f>
        <v/>
      </c>
      <c r="G408" s="1785" t="str">
        <f>IF('3A.Occpcy&amp;Rent'!$D408="","",VLOOKUP($C408,'3A.Occpcy&amp;Rent'!$C$15:$L$414,5,FALSE))</f>
        <v/>
      </c>
      <c r="H408" s="1727"/>
      <c r="I408" s="1727"/>
      <c r="J408" s="1727"/>
      <c r="K408" s="1727"/>
      <c r="L408" s="1727"/>
      <c r="M408" s="1469"/>
      <c r="N408" s="1729"/>
      <c r="P408" s="1597">
        <f t="shared" si="18"/>
        <v>1</v>
      </c>
      <c r="Q408" s="1597">
        <f t="shared" si="20"/>
        <v>1</v>
      </c>
      <c r="R408">
        <f t="shared" si="19"/>
        <v>0</v>
      </c>
    </row>
    <row r="409" spans="3:18" ht="20.100000000000001" customHeight="1">
      <c r="C409" s="34">
        <v>395</v>
      </c>
      <c r="D409" s="1782" t="str">
        <f>IF('3A.Occpcy&amp;Rent'!$D409="","",VLOOKUP($C409,'3A.Occpcy&amp;Rent'!$C$15:$L$414,2,FALSE))</f>
        <v/>
      </c>
      <c r="E409" s="1783" t="str">
        <f>IF('3A.Occpcy&amp;Rent'!$D409="","",VLOOKUP($C409,'3A.Occpcy&amp;Rent'!$C$15:$L$414,3,FALSE))</f>
        <v/>
      </c>
      <c r="F409" s="1784" t="str">
        <f>IF('3A.Occpcy&amp;Rent'!$D409="","",VLOOKUP($C409,'3A.Occpcy&amp;Rent'!$C$15:$L$414,10,FALSE))</f>
        <v/>
      </c>
      <c r="G409" s="1785" t="str">
        <f>IF('3A.Occpcy&amp;Rent'!$D409="","",VLOOKUP($C409,'3A.Occpcy&amp;Rent'!$C$15:$L$414,5,FALSE))</f>
        <v/>
      </c>
      <c r="H409" s="1727"/>
      <c r="I409" s="1727"/>
      <c r="J409" s="1727"/>
      <c r="K409" s="1727"/>
      <c r="L409" s="1727"/>
      <c r="M409" s="1469"/>
      <c r="N409" s="1729"/>
      <c r="P409" s="1597">
        <f t="shared" si="18"/>
        <v>1</v>
      </c>
      <c r="Q409" s="1597">
        <f t="shared" si="20"/>
        <v>1</v>
      </c>
      <c r="R409">
        <f t="shared" si="19"/>
        <v>0</v>
      </c>
    </row>
    <row r="410" spans="3:18" ht="20.100000000000001" customHeight="1">
      <c r="C410" s="34">
        <v>396</v>
      </c>
      <c r="D410" s="1782" t="str">
        <f>IF('3A.Occpcy&amp;Rent'!$D410="","",VLOOKUP($C410,'3A.Occpcy&amp;Rent'!$C$15:$L$414,2,FALSE))</f>
        <v/>
      </c>
      <c r="E410" s="1783" t="str">
        <f>IF('3A.Occpcy&amp;Rent'!$D410="","",VLOOKUP($C410,'3A.Occpcy&amp;Rent'!$C$15:$L$414,3,FALSE))</f>
        <v/>
      </c>
      <c r="F410" s="1784" t="str">
        <f>IF('3A.Occpcy&amp;Rent'!$D410="","",VLOOKUP($C410,'3A.Occpcy&amp;Rent'!$C$15:$L$414,10,FALSE))</f>
        <v/>
      </c>
      <c r="G410" s="1785" t="str">
        <f>IF('3A.Occpcy&amp;Rent'!$D410="","",VLOOKUP($C410,'3A.Occpcy&amp;Rent'!$C$15:$L$414,5,FALSE))</f>
        <v/>
      </c>
      <c r="H410" s="1727"/>
      <c r="I410" s="1727"/>
      <c r="J410" s="1727"/>
      <c r="K410" s="1727"/>
      <c r="L410" s="1727"/>
      <c r="M410" s="1469"/>
      <c r="N410" s="1729"/>
      <c r="P410" s="1597">
        <f t="shared" si="18"/>
        <v>1</v>
      </c>
      <c r="Q410" s="1597">
        <f t="shared" si="20"/>
        <v>1</v>
      </c>
      <c r="R410">
        <f t="shared" si="19"/>
        <v>0</v>
      </c>
    </row>
    <row r="411" spans="3:18" ht="20.100000000000001" customHeight="1">
      <c r="C411" s="34">
        <v>397</v>
      </c>
      <c r="D411" s="1782" t="str">
        <f>IF('3A.Occpcy&amp;Rent'!$D411="","",VLOOKUP($C411,'3A.Occpcy&amp;Rent'!$C$15:$L$414,2,FALSE))</f>
        <v/>
      </c>
      <c r="E411" s="1783" t="str">
        <f>IF('3A.Occpcy&amp;Rent'!$D411="","",VLOOKUP($C411,'3A.Occpcy&amp;Rent'!$C$15:$L$414,3,FALSE))</f>
        <v/>
      </c>
      <c r="F411" s="1784" t="str">
        <f>IF('3A.Occpcy&amp;Rent'!$D411="","",VLOOKUP($C411,'3A.Occpcy&amp;Rent'!$C$15:$L$414,10,FALSE))</f>
        <v/>
      </c>
      <c r="G411" s="1785" t="str">
        <f>IF('3A.Occpcy&amp;Rent'!$D411="","",VLOOKUP($C411,'3A.Occpcy&amp;Rent'!$C$15:$L$414,5,FALSE))</f>
        <v/>
      </c>
      <c r="H411" s="1727"/>
      <c r="I411" s="1727"/>
      <c r="J411" s="1727"/>
      <c r="K411" s="1727"/>
      <c r="L411" s="1727"/>
      <c r="M411" s="1469"/>
      <c r="N411" s="1729"/>
      <c r="P411" s="1597">
        <f t="shared" si="18"/>
        <v>1</v>
      </c>
      <c r="Q411" s="1597">
        <f t="shared" si="20"/>
        <v>1</v>
      </c>
      <c r="R411">
        <f t="shared" si="19"/>
        <v>0</v>
      </c>
    </row>
    <row r="412" spans="3:18" ht="20.100000000000001" customHeight="1">
      <c r="C412" s="34">
        <v>398</v>
      </c>
      <c r="D412" s="1782" t="str">
        <f>IF('3A.Occpcy&amp;Rent'!$D412="","",VLOOKUP($C412,'3A.Occpcy&amp;Rent'!$C$15:$L$414,2,FALSE))</f>
        <v/>
      </c>
      <c r="E412" s="1783" t="str">
        <f>IF('3A.Occpcy&amp;Rent'!$D412="","",VLOOKUP($C412,'3A.Occpcy&amp;Rent'!$C$15:$L$414,3,FALSE))</f>
        <v/>
      </c>
      <c r="F412" s="1784" t="str">
        <f>IF('3A.Occpcy&amp;Rent'!$D412="","",VLOOKUP($C412,'3A.Occpcy&amp;Rent'!$C$15:$L$414,10,FALSE))</f>
        <v/>
      </c>
      <c r="G412" s="1785" t="str">
        <f>IF('3A.Occpcy&amp;Rent'!$D412="","",VLOOKUP($C412,'3A.Occpcy&amp;Rent'!$C$15:$L$414,5,FALSE))</f>
        <v/>
      </c>
      <c r="H412" s="1727"/>
      <c r="I412" s="1727"/>
      <c r="J412" s="1727"/>
      <c r="K412" s="1727"/>
      <c r="L412" s="1727"/>
      <c r="M412" s="1469"/>
      <c r="N412" s="1729"/>
      <c r="P412" s="1597">
        <f t="shared" si="18"/>
        <v>1</v>
      </c>
      <c r="Q412" s="1597">
        <f t="shared" si="20"/>
        <v>1</v>
      </c>
      <c r="R412">
        <f t="shared" si="19"/>
        <v>0</v>
      </c>
    </row>
    <row r="413" spans="3:18" ht="20.100000000000001" customHeight="1">
      <c r="C413" s="34">
        <v>399</v>
      </c>
      <c r="D413" s="1782" t="str">
        <f>IF('3A.Occpcy&amp;Rent'!$D413="","",VLOOKUP($C413,'3A.Occpcy&amp;Rent'!$C$15:$L$414,2,FALSE))</f>
        <v/>
      </c>
      <c r="E413" s="1783" t="str">
        <f>IF('3A.Occpcy&amp;Rent'!$D413="","",VLOOKUP($C413,'3A.Occpcy&amp;Rent'!$C$15:$L$414,3,FALSE))</f>
        <v/>
      </c>
      <c r="F413" s="1784" t="str">
        <f>IF('3A.Occpcy&amp;Rent'!$D413="","",VLOOKUP($C413,'3A.Occpcy&amp;Rent'!$C$15:$L$414,10,FALSE))</f>
        <v/>
      </c>
      <c r="G413" s="1785" t="str">
        <f>IF('3A.Occpcy&amp;Rent'!$D413="","",VLOOKUP($C413,'3A.Occpcy&amp;Rent'!$C$15:$L$414,5,FALSE))</f>
        <v/>
      </c>
      <c r="H413" s="1727"/>
      <c r="I413" s="1727"/>
      <c r="J413" s="1727"/>
      <c r="K413" s="1727"/>
      <c r="L413" s="1727"/>
      <c r="M413" s="1469"/>
      <c r="N413" s="1729"/>
      <c r="P413" s="1597">
        <f t="shared" si="18"/>
        <v>1</v>
      </c>
      <c r="Q413" s="1597">
        <f t="shared" si="20"/>
        <v>1</v>
      </c>
      <c r="R413">
        <f t="shared" si="19"/>
        <v>0</v>
      </c>
    </row>
    <row r="414" spans="3:18" ht="20.100000000000001" customHeight="1">
      <c r="C414" s="34">
        <v>400</v>
      </c>
      <c r="D414" s="1782" t="str">
        <f>IF('3A.Occpcy&amp;Rent'!$D414="","",VLOOKUP($C414,'3A.Occpcy&amp;Rent'!$C$15:$L$414,2,FALSE))</f>
        <v/>
      </c>
      <c r="E414" s="1783" t="str">
        <f>IF('3A.Occpcy&amp;Rent'!$D414="","",VLOOKUP($C414,'3A.Occpcy&amp;Rent'!$C$15:$L$414,3,FALSE))</f>
        <v/>
      </c>
      <c r="F414" s="1784" t="str">
        <f>IF('3A.Occpcy&amp;Rent'!$D414="","",VLOOKUP($C414,'3A.Occpcy&amp;Rent'!$C$15:$L$414,10,FALSE))</f>
        <v/>
      </c>
      <c r="G414" s="1785" t="str">
        <f>IF('3A.Occpcy&amp;Rent'!$D414="","",VLOOKUP($C414,'3A.Occpcy&amp;Rent'!$C$15:$L$414,5,FALSE))</f>
        <v/>
      </c>
      <c r="H414" s="1727"/>
      <c r="I414" s="1727"/>
      <c r="J414" s="1727"/>
      <c r="K414" s="1727"/>
      <c r="L414" s="1727"/>
      <c r="M414" s="1469"/>
      <c r="N414" s="1729"/>
      <c r="P414" s="1597">
        <f t="shared" si="18"/>
        <v>1</v>
      </c>
      <c r="Q414" s="1597">
        <f t="shared" si="20"/>
        <v>1</v>
      </c>
      <c r="R414">
        <f t="shared" si="19"/>
        <v>0</v>
      </c>
    </row>
    <row r="415" spans="3:18" ht="20.100000000000001" hidden="1" customHeight="1">
      <c r="C415" s="621"/>
      <c r="D415" s="621"/>
      <c r="E415" s="621"/>
      <c r="F415" s="621"/>
      <c r="G415" s="621"/>
      <c r="H415" s="621"/>
      <c r="I415" s="1455"/>
      <c r="J415" s="1455"/>
      <c r="K415" s="1455"/>
      <c r="L415" s="1455"/>
      <c r="M415" s="1466"/>
      <c r="N415" s="621"/>
    </row>
    <row r="416" spans="3:18" ht="69" hidden="1" customHeight="1" thickBot="1">
      <c r="C416" s="580"/>
      <c r="D416" s="1380">
        <f>COUNTA(D$15:D$414)</f>
        <v>400</v>
      </c>
      <c r="E416" s="1381"/>
      <c r="F416" s="580">
        <f>SUM(F15:F415)</f>
        <v>0</v>
      </c>
      <c r="G416" s="580"/>
      <c r="H416" s="580"/>
      <c r="I416" s="1456"/>
      <c r="J416" s="1456"/>
      <c r="K416" s="1456"/>
      <c r="L416" s="1456"/>
      <c r="M416" s="1467"/>
      <c r="N416" s="582"/>
      <c r="P416">
        <f>SUM(P15:P414)</f>
        <v>400</v>
      </c>
      <c r="Q416">
        <f>SUM(Q15:Q414)</f>
        <v>400</v>
      </c>
      <c r="R416" s="579" t="s">
        <v>2459</v>
      </c>
    </row>
    <row r="417" ht="20.100000000000001" hidden="1" customHeight="1"/>
    <row r="418" ht="20.100000000000001" hidden="1" customHeight="1"/>
    <row r="419" ht="20.100000000000001" hidden="1" customHeight="1"/>
    <row r="420" ht="20.100000000000001" hidden="1" customHeight="1"/>
    <row r="421" ht="20.100000000000001" hidden="1" customHeight="1"/>
    <row r="422" ht="20.100000000000001" hidden="1" customHeight="1"/>
    <row r="423" ht="20.100000000000001" hidden="1" customHeight="1"/>
    <row r="424" ht="20.100000000000001" hidden="1" customHeight="1"/>
    <row r="425" ht="20.100000000000001" hidden="1" customHeight="1"/>
    <row r="426" ht="20.100000000000001" hidden="1" customHeight="1"/>
    <row r="427" ht="20.100000000000001" hidden="1" customHeight="1"/>
    <row r="428" ht="20.100000000000001" hidden="1" customHeight="1"/>
    <row r="429" ht="20.100000000000001" hidden="1" customHeight="1"/>
    <row r="430" ht="20.100000000000001" hidden="1" customHeight="1"/>
    <row r="431" ht="20.100000000000001" hidden="1" customHeight="1"/>
    <row r="432" ht="20.100000000000001" hidden="1" customHeight="1"/>
    <row r="433" ht="20.100000000000001" hidden="1" customHeight="1"/>
    <row r="434" ht="20.100000000000001" hidden="1" customHeight="1"/>
    <row r="435" ht="20.100000000000001" hidden="1" customHeight="1"/>
    <row r="436" ht="20.100000000000001" hidden="1" customHeight="1"/>
    <row r="437" ht="20.100000000000001" hidden="1" customHeight="1"/>
    <row r="438" ht="20.100000000000001" hidden="1" customHeight="1"/>
    <row r="439" ht="20.100000000000001" hidden="1" customHeight="1"/>
    <row r="440" ht="20.100000000000001" hidden="1" customHeight="1"/>
    <row r="441" ht="20.100000000000001" hidden="1" customHeight="1"/>
    <row r="442" ht="20.100000000000001" hidden="1" customHeight="1"/>
    <row r="443" ht="20.100000000000001" hidden="1" customHeight="1"/>
    <row r="444" ht="20.100000000000001" hidden="1" customHeight="1"/>
    <row r="445" ht="20.100000000000001" hidden="1" customHeight="1"/>
    <row r="446" ht="20.100000000000001" hidden="1" customHeight="1"/>
    <row r="447" ht="20.100000000000001" hidden="1" customHeight="1"/>
    <row r="448"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sheetData>
  <sheetProtection algorithmName="SHA-512" hashValue="V2DEIVoq8ElirU2+V3M/olSH29DW8AyA86ite1DW+tSBujUCtS2wFrd0f+H1KExH73ATZISYYRy1jgYDTHGY3w==" saltValue="sazy6uaA9Ftn8DHKdHKfqA==" spinCount="100000" sheet="1" objects="1" scenarios="1"/>
  <mergeCells count="18">
    <mergeCell ref="N10:N14"/>
    <mergeCell ref="J10:J14"/>
    <mergeCell ref="Q13:Q14"/>
    <mergeCell ref="E7:N7"/>
    <mergeCell ref="C2:N2"/>
    <mergeCell ref="C5:D5"/>
    <mergeCell ref="E5:H5"/>
    <mergeCell ref="K10:K14"/>
    <mergeCell ref="C8:E8"/>
    <mergeCell ref="C10:C14"/>
    <mergeCell ref="D10:D14"/>
    <mergeCell ref="E10:E14"/>
    <mergeCell ref="I10:I14"/>
    <mergeCell ref="H10:H14"/>
    <mergeCell ref="F10:F14"/>
    <mergeCell ref="L10:L14"/>
    <mergeCell ref="G10:G14"/>
    <mergeCell ref="M10:M14"/>
  </mergeCells>
  <dataValidations count="8">
    <dataValidation type="whole" operator="greaterThanOrEqual" allowBlank="1" showInputMessage="1" showErrorMessage="1" error="numbers only in this field!" sqref="C415:J415 M15:M415">
      <formula1>0</formula1>
    </dataValidation>
    <dataValidation type="list" allowBlank="1" showInputMessage="1" showErrorMessage="1" promptTitle="Yes or No" prompt="choose from the list" sqref="L15:L415 K415">
      <formula1>$T$14:$T$15</formula1>
    </dataValidation>
    <dataValidation type="list" allowBlank="1" showInputMessage="1" showErrorMessage="1" promptTitle="Disability Type" prompt="choose from the list" sqref="N415">
      <formula1>$U$14:$U$16</formula1>
    </dataValidation>
    <dataValidation type="list" allowBlank="1" showInputMessage="1" showErrorMessage="1" sqref="I15:I414">
      <formula1>$W$14:$W$24</formula1>
    </dataValidation>
    <dataValidation type="list" allowBlank="1" showInputMessage="1" showErrorMessage="1" sqref="H15:H414">
      <formula1>$V$14:$V$16</formula1>
    </dataValidation>
    <dataValidation type="list" allowBlank="1" showInputMessage="1" showErrorMessage="1" promptTitle="Disability Type" prompt="choose from the list" sqref="N15:N414">
      <formula1>$U$14:$U$20</formula1>
    </dataValidation>
    <dataValidation type="list" allowBlank="1" showInputMessage="1" showErrorMessage="1" prompt="choose from the list" sqref="K15:K414">
      <formula1>$Z$14:$Z$21</formula1>
    </dataValidation>
    <dataValidation type="list" allowBlank="1" showInputMessage="1" showErrorMessage="1" prompt="choose form the list" sqref="J15:J414">
      <formula1>$X$14:$X$21</formula1>
    </dataValidation>
  </dataValidations>
  <printOptions horizontalCentered="1"/>
  <pageMargins left="0.21" right="0" top="0.45" bottom="0" header="0.27" footer="0"/>
  <pageSetup scale="49"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Q57"/>
  <sheetViews>
    <sheetView showGridLines="0" zoomScaleNormal="100" workbookViewId="0">
      <selection activeCell="E8" sqref="E8"/>
    </sheetView>
  </sheetViews>
  <sheetFormatPr defaultColWidth="0" defaultRowHeight="13.2"/>
  <cols>
    <col min="1" max="1" width="4.6640625" customWidth="1"/>
    <col min="2" max="2" width="7.44140625" customWidth="1"/>
    <col min="3" max="3" width="25.5546875" customWidth="1"/>
    <col min="4" max="4" width="13.44140625" customWidth="1"/>
    <col min="5" max="5" width="15.109375" customWidth="1"/>
    <col min="6" max="6" width="12.6640625" bestFit="1" customWidth="1"/>
    <col min="7" max="7" width="9.88671875" bestFit="1" customWidth="1"/>
    <col min="8" max="8" width="4.6640625" customWidth="1"/>
    <col min="9" max="9" width="6.6640625" customWidth="1"/>
    <col min="10" max="10" width="7.5546875" customWidth="1"/>
    <col min="11" max="11" width="24.5546875" customWidth="1"/>
    <col min="12" max="12" width="15.33203125" customWidth="1"/>
    <col min="13" max="13" width="17" customWidth="1"/>
    <col min="14" max="14" width="9.88671875" bestFit="1" customWidth="1"/>
    <col min="15" max="15" width="9.109375" customWidth="1"/>
    <col min="16" max="16384" width="9.109375" hidden="1"/>
  </cols>
  <sheetData>
    <row r="2" spans="1:17" ht="21">
      <c r="A2" s="1333" t="str">
        <f>'Completeness Tracker'!$O$23&amp;" "&amp;'Completeness Tracker'!$O$34&amp;" - "&amp;'Completeness Tracker'!$O$24</f>
        <v xml:space="preserve">Annual Monitoring Report - Summary of Reported Household Demographics - Reporting Year 2018 - </v>
      </c>
      <c r="B2" s="1333"/>
      <c r="C2" s="967"/>
      <c r="D2" s="967"/>
      <c r="E2" s="967"/>
      <c r="F2" s="967"/>
      <c r="G2" s="967"/>
      <c r="H2" s="967"/>
      <c r="I2" s="967"/>
      <c r="J2" s="967"/>
      <c r="K2" s="967"/>
      <c r="L2" s="967"/>
      <c r="M2" s="967"/>
      <c r="N2" s="967"/>
    </row>
    <row r="3" spans="1:17" ht="21.6" thickBot="1">
      <c r="A3" s="1334" t="str">
        <f>'Completeness Tracker'!$O$39</f>
        <v>Mayor's Office of Housing &amp; Community Development</v>
      </c>
      <c r="B3" s="1333"/>
      <c r="C3" s="967"/>
      <c r="D3" s="967"/>
      <c r="E3" s="967"/>
      <c r="F3" s="967"/>
      <c r="G3" s="967"/>
      <c r="H3" s="967"/>
      <c r="I3" s="967"/>
      <c r="J3" s="967"/>
      <c r="K3" s="967"/>
      <c r="L3" s="967"/>
      <c r="M3" s="967"/>
      <c r="N3" s="967"/>
    </row>
    <row r="4" spans="1:17" ht="26.25" customHeight="1" thickBot="1">
      <c r="A4" s="2128" t="s">
        <v>355</v>
      </c>
      <c r="B4" s="2129"/>
      <c r="C4" s="2129"/>
      <c r="D4" s="2131" t="str">
        <f>' 1A.Prop&amp;Residents'!$S$9</f>
        <v/>
      </c>
      <c r="E4" s="2131"/>
      <c r="F4" s="2131"/>
      <c r="G4" s="2132"/>
      <c r="H4" s="1330"/>
      <c r="I4" s="1326"/>
      <c r="J4" s="2130" t="s">
        <v>1451</v>
      </c>
      <c r="K4" s="2130"/>
      <c r="L4" s="1327">
        <f>' 1A.Prop&amp;Residents'!$G$13</f>
        <v>0</v>
      </c>
      <c r="M4" s="1328" t="str">
        <f>'3A.Occpcy&amp;Rent'!X4</f>
        <v># Units:</v>
      </c>
      <c r="N4" s="1329">
        <f>'3A.Occpcy&amp;Rent'!$Y$4</f>
        <v>0</v>
      </c>
    </row>
    <row r="6" spans="1:17" ht="15.6">
      <c r="A6" s="1322" t="s">
        <v>1450</v>
      </c>
      <c r="I6" s="1317" t="s">
        <v>1468</v>
      </c>
    </row>
    <row r="7" spans="1:17" ht="27">
      <c r="A7" s="1340"/>
      <c r="B7" s="1341"/>
      <c r="C7" s="1320"/>
      <c r="D7" s="1338" t="s">
        <v>1471</v>
      </c>
      <c r="E7" s="1338" t="s">
        <v>1467</v>
      </c>
      <c r="I7" s="1340"/>
      <c r="J7" s="1319"/>
      <c r="K7" s="1319"/>
      <c r="L7" s="1319"/>
      <c r="M7" s="1371" t="s">
        <v>1473</v>
      </c>
      <c r="P7">
        <v>1</v>
      </c>
      <c r="Q7" s="420" t="str">
        <f>'3B.Demographic'!U14</f>
        <v>Physical</v>
      </c>
    </row>
    <row r="8" spans="1:17" ht="15">
      <c r="A8" s="1346" t="s">
        <v>1453</v>
      </c>
      <c r="B8" s="1347"/>
      <c r="C8" s="1348"/>
      <c r="D8" s="1349">
        <f>COUNTIF('3A.Occpcy&amp;Rent'!$L$15:$L$414,$P7)</f>
        <v>0</v>
      </c>
      <c r="E8" s="1350" t="str">
        <f t="shared" ref="E8:E15" si="0">IFERROR(D8/$D$15,"")</f>
        <v/>
      </c>
      <c r="I8" s="1356" t="s">
        <v>1463</v>
      </c>
      <c r="J8" s="1357"/>
      <c r="K8" s="1358"/>
      <c r="L8" s="1358"/>
      <c r="M8" s="1359">
        <f>COUNTIF('3B.Demographic'!$L$15:$L$414,"Yes")</f>
        <v>0</v>
      </c>
      <c r="P8">
        <f>P7+1</f>
        <v>2</v>
      </c>
      <c r="Q8" s="420" t="str">
        <f>'3B.Demographic'!U15</f>
        <v>Visual</v>
      </c>
    </row>
    <row r="9" spans="1:17" ht="15">
      <c r="A9" s="1351" t="s">
        <v>1454</v>
      </c>
      <c r="B9" s="1352"/>
      <c r="C9" s="1353"/>
      <c r="D9" s="1354">
        <f>COUNTIF('3A.Occpcy&amp;Rent'!$L$15:$L$414,$P8)</f>
        <v>0</v>
      </c>
      <c r="E9" s="1355" t="str">
        <f t="shared" si="0"/>
        <v/>
      </c>
      <c r="I9" s="1356" t="s">
        <v>1466</v>
      </c>
      <c r="J9" s="1357"/>
      <c r="K9" s="1358"/>
      <c r="L9" s="1358"/>
      <c r="M9" s="1359">
        <f>COUNTIF('3B.Demographic'!$M$15:$M$414,"&gt;0")</f>
        <v>0</v>
      </c>
      <c r="P9">
        <f t="shared" ref="P9:P13" si="1">P8+1</f>
        <v>3</v>
      </c>
      <c r="Q9" s="420" t="str">
        <f>'3B.Demographic'!U16</f>
        <v>Hearing</v>
      </c>
    </row>
    <row r="10" spans="1:17" ht="15.75" customHeight="1">
      <c r="A10" s="1351" t="s">
        <v>1455</v>
      </c>
      <c r="B10" s="1352"/>
      <c r="C10" s="1353"/>
      <c r="D10" s="1354">
        <f>COUNTIF('3A.Occpcy&amp;Rent'!$L$15:$L$414,$P9)</f>
        <v>0</v>
      </c>
      <c r="E10" s="1355" t="str">
        <f t="shared" si="0"/>
        <v/>
      </c>
      <c r="I10" s="1356" t="s">
        <v>1464</v>
      </c>
      <c r="J10" s="1357"/>
      <c r="K10" s="1358"/>
      <c r="L10" s="1358"/>
      <c r="M10" s="1359">
        <f>SUM('3B.Demographic'!$M$15:$M$414)</f>
        <v>0</v>
      </c>
      <c r="P10">
        <f t="shared" si="1"/>
        <v>4</v>
      </c>
      <c r="Q10" s="420" t="str">
        <f>'3B.Demographic'!U17</f>
        <v>Mental/Developmental</v>
      </c>
    </row>
    <row r="11" spans="1:17" ht="15">
      <c r="A11" s="1351" t="s">
        <v>1456</v>
      </c>
      <c r="B11" s="1352"/>
      <c r="C11" s="1353"/>
      <c r="D11" s="1354">
        <f>COUNTIF('3A.Occpcy&amp;Rent'!$L$15:$L$414,$P10)</f>
        <v>0</v>
      </c>
      <c r="E11" s="1355" t="str">
        <f t="shared" si="0"/>
        <v/>
      </c>
      <c r="I11" s="1400" t="s">
        <v>1515</v>
      </c>
      <c r="J11" s="1401"/>
      <c r="K11" s="1402"/>
      <c r="L11" s="1402"/>
      <c r="M11" s="1359">
        <f>COUNTIF('3B.Demographic'!$N$15:$N$414,$Q7)</f>
        <v>0</v>
      </c>
      <c r="P11">
        <f t="shared" si="1"/>
        <v>5</v>
      </c>
      <c r="Q11" s="420" t="s">
        <v>195</v>
      </c>
    </row>
    <row r="12" spans="1:17" ht="15.75" customHeight="1">
      <c r="A12" s="1351" t="s">
        <v>1457</v>
      </c>
      <c r="B12" s="1352"/>
      <c r="C12" s="1353"/>
      <c r="D12" s="1354">
        <f>COUNTIF('3A.Occpcy&amp;Rent'!$L$15:$L$414,$P11)</f>
        <v>0</v>
      </c>
      <c r="E12" s="1355" t="str">
        <f t="shared" si="0"/>
        <v/>
      </c>
      <c r="I12" s="1400" t="s">
        <v>1516</v>
      </c>
      <c r="J12" s="1401"/>
      <c r="K12" s="1402"/>
      <c r="L12" s="1402"/>
      <c r="M12" s="1359">
        <f>COUNTIF('3B.Demographic'!$N$15:$N$414,$Q8)</f>
        <v>0</v>
      </c>
      <c r="P12">
        <f t="shared" si="1"/>
        <v>6</v>
      </c>
      <c r="Q12" s="420" t="s">
        <v>1601</v>
      </c>
    </row>
    <row r="13" spans="1:17" ht="15">
      <c r="A13" s="1351" t="s">
        <v>1458</v>
      </c>
      <c r="B13" s="1352"/>
      <c r="C13" s="1353"/>
      <c r="D13" s="1354">
        <f>COUNTIF('3A.Occpcy&amp;Rent'!$L$15:$L$414,$P12)</f>
        <v>0</v>
      </c>
      <c r="E13" s="1355" t="str">
        <f t="shared" si="0"/>
        <v/>
      </c>
      <c r="I13" s="1400" t="s">
        <v>1517</v>
      </c>
      <c r="J13" s="1401"/>
      <c r="K13" s="1402"/>
      <c r="L13" s="1402"/>
      <c r="M13" s="1359">
        <f>COUNTIF('3B.Demographic'!$N$15:$N$414,$Q9)</f>
        <v>0</v>
      </c>
      <c r="P13">
        <f t="shared" si="1"/>
        <v>7</v>
      </c>
      <c r="Q13" s="420" t="s">
        <v>1465</v>
      </c>
    </row>
    <row r="14" spans="1:17" ht="15.75" customHeight="1" thickBot="1">
      <c r="A14" s="1343" t="s">
        <v>1459</v>
      </c>
      <c r="B14" s="1344"/>
      <c r="C14" s="1325"/>
      <c r="D14" s="1345">
        <f>COUNTIF('3A.Occpcy&amp;Rent'!$L$15:$L$414,"&gt;=7")</f>
        <v>0</v>
      </c>
      <c r="E14" s="1337" t="str">
        <f t="shared" si="0"/>
        <v/>
      </c>
      <c r="I14" s="1400" t="s">
        <v>2153</v>
      </c>
      <c r="J14" s="1401"/>
      <c r="K14" s="1402"/>
      <c r="L14" s="1402"/>
      <c r="M14" s="1359">
        <f>COUNTIF('3B.Demographic'!$N$15:$N$414,$Q10)</f>
        <v>0</v>
      </c>
    </row>
    <row r="15" spans="1:17" ht="16.2" thickTop="1">
      <c r="A15" s="1331" t="s">
        <v>1475</v>
      </c>
      <c r="B15" s="1331"/>
      <c r="C15" s="644"/>
      <c r="D15" s="1339">
        <f>SUM(D8:D14)</f>
        <v>0</v>
      </c>
      <c r="E15" s="1332" t="str">
        <f t="shared" si="0"/>
        <v/>
      </c>
      <c r="I15" s="1400" t="s">
        <v>2154</v>
      </c>
      <c r="J15" s="1401"/>
      <c r="K15" s="1402"/>
      <c r="L15" s="1402"/>
      <c r="M15" s="1359">
        <f>COUNTIF('3B.Demographic'!$N$15:$N$414,$Q11)</f>
        <v>0</v>
      </c>
    </row>
    <row r="16" spans="1:17" ht="15.75" customHeight="1">
      <c r="A16" s="1316" t="s">
        <v>358</v>
      </c>
      <c r="B16" s="1316"/>
      <c r="C16" s="160"/>
      <c r="D16" s="160">
        <f>SUMPRODUCT(D8:D14,P7:P13)</f>
        <v>0</v>
      </c>
      <c r="E16" s="160"/>
      <c r="I16" s="1400" t="s">
        <v>2155</v>
      </c>
      <c r="J16" s="1401"/>
      <c r="K16" s="1402"/>
      <c r="L16" s="1402"/>
      <c r="M16" s="1359">
        <f>COUNTIF('3B.Demographic'!$N$15:$N$414,$Q12)</f>
        <v>0</v>
      </c>
    </row>
    <row r="17" spans="1:14" ht="15">
      <c r="A17" t="str">
        <f>"*Excludes "&amp;SUBTOTAL(3,'3A.Occpcy&amp;Rent'!$D$15:$D$414)-SUBTOTAL(3,'3A.Occpcy&amp;Rent'!$H$15:$H$414)&amp;" unit(s) reported as manager's or vacant unit(s)."</f>
        <v>*Excludes 0 unit(s) reported as manager's or vacant unit(s).</v>
      </c>
      <c r="I17" s="1403" t="s">
        <v>1469</v>
      </c>
      <c r="J17" s="1404"/>
      <c r="K17" s="1405"/>
      <c r="L17" s="1405"/>
      <c r="M17" s="1360">
        <f>COUNTIF('3B.Demographic'!$N$15:$N$414,$Q13)</f>
        <v>0</v>
      </c>
    </row>
    <row r="19" spans="1:14" ht="15.75" customHeight="1"/>
    <row r="20" spans="1:14" ht="15.6">
      <c r="A20" s="1366" t="s">
        <v>1452</v>
      </c>
      <c r="B20" s="1366"/>
      <c r="C20" s="1367"/>
      <c r="D20" s="1367"/>
      <c r="E20" s="1367"/>
      <c r="F20" s="1367"/>
      <c r="G20" s="1367"/>
      <c r="I20" s="1366" t="s">
        <v>1474</v>
      </c>
    </row>
    <row r="21" spans="1:14" ht="26.4">
      <c r="A21" s="1398"/>
      <c r="B21" s="1342"/>
      <c r="C21" s="73"/>
      <c r="D21" s="73"/>
      <c r="E21" s="73"/>
      <c r="F21" s="265" t="s">
        <v>1472</v>
      </c>
      <c r="G21" s="1338" t="s">
        <v>1467</v>
      </c>
      <c r="I21" s="2133" t="s">
        <v>185</v>
      </c>
      <c r="J21" s="2134"/>
      <c r="K21" s="2135"/>
      <c r="L21" s="2133" t="s">
        <v>191</v>
      </c>
      <c r="M21" s="2134"/>
      <c r="N21" s="2135"/>
    </row>
    <row r="22" spans="1:14" ht="15" customHeight="1">
      <c r="A22" s="1361" t="s">
        <v>1416</v>
      </c>
      <c r="B22" s="1362"/>
      <c r="C22" s="46"/>
      <c r="D22" s="46"/>
      <c r="E22" s="46"/>
      <c r="F22" s="1365">
        <f>COUNTIF('3B.Demographic'!$R$15:$R$414,$A$22)</f>
        <v>0</v>
      </c>
      <c r="G22" s="1363" t="str">
        <f>IFERROR(F22/$F$35,"")</f>
        <v/>
      </c>
      <c r="I22" s="2118">
        <f>' 1A.Prop&amp;Residents'!I78</f>
        <v>0</v>
      </c>
      <c r="J22" s="2119"/>
      <c r="K22" s="2116" t="s">
        <v>794</v>
      </c>
      <c r="L22" s="2122">
        <f>' 1A.Prop&amp;Residents'!K78</f>
        <v>0</v>
      </c>
      <c r="M22" s="2124" t="s">
        <v>794</v>
      </c>
      <c r="N22" s="2125"/>
    </row>
    <row r="23" spans="1:14" ht="15" customHeight="1">
      <c r="A23" s="1431" t="s">
        <v>1417</v>
      </c>
      <c r="B23" s="1432"/>
      <c r="C23" s="1433"/>
      <c r="D23" s="1433"/>
      <c r="E23" s="1433"/>
      <c r="F23" s="1434"/>
      <c r="G23" s="1434"/>
      <c r="I23" s="2120"/>
      <c r="J23" s="2121"/>
      <c r="K23" s="2117"/>
      <c r="L23" s="2123"/>
      <c r="M23" s="2126"/>
      <c r="N23" s="2127"/>
    </row>
    <row r="24" spans="1:14" ht="15" customHeight="1">
      <c r="A24" s="1361"/>
      <c r="B24" s="1362" t="s">
        <v>1418</v>
      </c>
      <c r="C24" s="46"/>
      <c r="D24" s="46"/>
      <c r="E24" s="46"/>
      <c r="F24" s="1365">
        <f>COUNTIF('3B.Demographic'!$R$15:$R$414,$B24)</f>
        <v>0</v>
      </c>
      <c r="G24" s="1363" t="str">
        <f t="shared" ref="G24:G35" si="2">IFERROR(F24/$F$35,"")</f>
        <v/>
      </c>
      <c r="I24" s="2118">
        <f>' 1A.Prop&amp;Residents'!I79</f>
        <v>0</v>
      </c>
      <c r="J24" s="2119"/>
      <c r="K24" s="2116" t="s">
        <v>795</v>
      </c>
      <c r="L24" s="2122">
        <f>' 1A.Prop&amp;Residents'!K79</f>
        <v>0</v>
      </c>
      <c r="M24" s="2124" t="s">
        <v>795</v>
      </c>
      <c r="N24" s="2125"/>
    </row>
    <row r="25" spans="1:14" ht="15.75" customHeight="1">
      <c r="A25" s="1356"/>
      <c r="B25" s="1358" t="s">
        <v>1419</v>
      </c>
      <c r="C25" s="1364"/>
      <c r="D25" s="1364"/>
      <c r="E25" s="1364"/>
      <c r="F25" s="1354">
        <f>COUNTIF('3B.Demographic'!$R$15:$R$414,$B25)</f>
        <v>0</v>
      </c>
      <c r="G25" s="1355" t="str">
        <f t="shared" si="2"/>
        <v/>
      </c>
      <c r="I25" s="2120"/>
      <c r="J25" s="2121"/>
      <c r="K25" s="2117" t="s">
        <v>1470</v>
      </c>
      <c r="L25" s="2123"/>
      <c r="M25" s="2126" t="s">
        <v>1470</v>
      </c>
      <c r="N25" s="2127"/>
    </row>
    <row r="26" spans="1:14" ht="15" customHeight="1">
      <c r="A26" s="1356"/>
      <c r="B26" s="1358" t="s">
        <v>1420</v>
      </c>
      <c r="C26" s="1364"/>
      <c r="D26" s="1364"/>
      <c r="E26" s="1364"/>
      <c r="F26" s="1354">
        <f>COUNTIF('3B.Demographic'!$R$15:$R$414,$B26)</f>
        <v>0</v>
      </c>
      <c r="G26" s="1355" t="str">
        <f t="shared" si="2"/>
        <v/>
      </c>
      <c r="I26" s="2118">
        <f>' 1A.Prop&amp;Residents'!I80</f>
        <v>0</v>
      </c>
      <c r="J26" s="2119"/>
      <c r="K26" s="2116" t="s">
        <v>796</v>
      </c>
      <c r="L26" s="2122">
        <f>' 1A.Prop&amp;Residents'!K80</f>
        <v>0</v>
      </c>
      <c r="M26" s="2124" t="s">
        <v>796</v>
      </c>
      <c r="N26" s="2125"/>
    </row>
    <row r="27" spans="1:14" ht="15.75" customHeight="1">
      <c r="A27" s="1356"/>
      <c r="B27" s="1358" t="s">
        <v>1421</v>
      </c>
      <c r="C27" s="1364"/>
      <c r="D27" s="1364"/>
      <c r="E27" s="1364"/>
      <c r="F27" s="1354">
        <f>COUNTIF('3B.Demographic'!$R$15:$R$414,$B27)</f>
        <v>0</v>
      </c>
      <c r="G27" s="1355" t="str">
        <f t="shared" si="2"/>
        <v/>
      </c>
      <c r="I27" s="2120"/>
      <c r="J27" s="2121"/>
      <c r="K27" s="2117"/>
      <c r="L27" s="2123"/>
      <c r="M27" s="2126"/>
      <c r="N27" s="2127"/>
    </row>
    <row r="28" spans="1:14" ht="15" customHeight="1">
      <c r="A28" s="1356"/>
      <c r="B28" s="1358" t="s">
        <v>1422</v>
      </c>
      <c r="C28" s="1364"/>
      <c r="D28" s="1364"/>
      <c r="E28" s="1364"/>
      <c r="F28" s="1354">
        <f>COUNTIF('3B.Demographic'!$R$15:$R$414,$B28)</f>
        <v>0</v>
      </c>
      <c r="G28" s="1355" t="str">
        <f t="shared" si="2"/>
        <v/>
      </c>
      <c r="I28" s="2118">
        <f>' 1A.Prop&amp;Residents'!I81</f>
        <v>0</v>
      </c>
      <c r="J28" s="2119"/>
      <c r="K28" s="2116" t="s">
        <v>797</v>
      </c>
      <c r="L28" s="2122">
        <f>' 1A.Prop&amp;Residents'!K81</f>
        <v>0</v>
      </c>
      <c r="M28" s="2124" t="s">
        <v>797</v>
      </c>
      <c r="N28" s="2125"/>
    </row>
    <row r="29" spans="1:14" ht="15" customHeight="1">
      <c r="A29" s="1356"/>
      <c r="B29" s="1358" t="s">
        <v>1439</v>
      </c>
      <c r="C29" s="1364"/>
      <c r="D29" s="1364"/>
      <c r="E29" s="1364"/>
      <c r="F29" s="1354">
        <f>COUNTIF('3B.Demographic'!$R$15:$R$414,$B29)</f>
        <v>0</v>
      </c>
      <c r="G29" s="1355" t="str">
        <f t="shared" si="2"/>
        <v/>
      </c>
      <c r="I29" s="2120"/>
      <c r="J29" s="2121"/>
      <c r="K29" s="2117"/>
      <c r="L29" s="2123"/>
      <c r="M29" s="2126"/>
      <c r="N29" s="2127"/>
    </row>
    <row r="30" spans="1:14" ht="15" customHeight="1">
      <c r="A30" s="1356"/>
      <c r="B30" s="1358" t="s">
        <v>1460</v>
      </c>
      <c r="C30" s="1364"/>
      <c r="D30" s="1364"/>
      <c r="E30" s="1364"/>
      <c r="F30" s="1354">
        <f>COUNTIF('3B.Demographic'!$R$15:$R$414,$B30)</f>
        <v>0</v>
      </c>
      <c r="G30" s="1355" t="str">
        <f t="shared" si="2"/>
        <v/>
      </c>
      <c r="I30" s="2118">
        <f>' 1A.Prop&amp;Residents'!I82</f>
        <v>0</v>
      </c>
      <c r="J30" s="2119"/>
      <c r="K30" s="2116" t="s">
        <v>113</v>
      </c>
      <c r="L30" s="2122">
        <f>' 1A.Prop&amp;Residents'!K82</f>
        <v>0</v>
      </c>
      <c r="M30" s="2124" t="s">
        <v>113</v>
      </c>
      <c r="N30" s="2125"/>
    </row>
    <row r="31" spans="1:14" ht="15" customHeight="1">
      <c r="A31" s="1356"/>
      <c r="B31" s="1358" t="s">
        <v>1461</v>
      </c>
      <c r="C31" s="1364"/>
      <c r="D31" s="1364"/>
      <c r="E31" s="1364"/>
      <c r="F31" s="1354">
        <f>COUNTIF('3B.Demographic'!$R$15:$R$414,$B31)</f>
        <v>0</v>
      </c>
      <c r="G31" s="1355" t="str">
        <f t="shared" si="2"/>
        <v/>
      </c>
      <c r="I31" s="2120"/>
      <c r="J31" s="2121"/>
      <c r="K31" s="2117"/>
      <c r="L31" s="2123"/>
      <c r="M31" s="2126"/>
      <c r="N31" s="2127"/>
    </row>
    <row r="32" spans="1:14" ht="15.75" customHeight="1">
      <c r="A32" s="1356"/>
      <c r="B32" s="1358" t="s">
        <v>1462</v>
      </c>
      <c r="C32" s="1364"/>
      <c r="D32" s="1364"/>
      <c r="E32" s="1364"/>
      <c r="F32" s="1354">
        <f>COUNTIF('3B.Demographic'!$R$15:$R$414,$B32)</f>
        <v>0</v>
      </c>
      <c r="G32" s="1355" t="str">
        <f t="shared" si="2"/>
        <v/>
      </c>
      <c r="I32" s="2118">
        <f>' 1A.Prop&amp;Residents'!I83</f>
        <v>0</v>
      </c>
      <c r="J32" s="2119"/>
      <c r="K32" s="2116" t="s">
        <v>114</v>
      </c>
      <c r="L32" s="2122">
        <f>' 1A.Prop&amp;Residents'!K83</f>
        <v>0</v>
      </c>
      <c r="M32" s="2124" t="s">
        <v>114</v>
      </c>
      <c r="N32" s="2125"/>
    </row>
    <row r="33" spans="1:14" ht="15.75" customHeight="1">
      <c r="A33" s="1356"/>
      <c r="B33" s="1358" t="s">
        <v>1427</v>
      </c>
      <c r="C33" s="1364"/>
      <c r="D33" s="1364"/>
      <c r="E33" s="1364"/>
      <c r="F33" s="1354">
        <f>COUNTIF('3B.Demographic'!$R$15:$R$414,$B33)</f>
        <v>0</v>
      </c>
      <c r="G33" s="1355" t="str">
        <f t="shared" si="2"/>
        <v/>
      </c>
      <c r="I33" s="2120"/>
      <c r="J33" s="2121"/>
      <c r="K33" s="2117"/>
      <c r="L33" s="2123"/>
      <c r="M33" s="2126"/>
      <c r="N33" s="2127"/>
    </row>
    <row r="34" spans="1:14" ht="16.2" thickBot="1">
      <c r="A34" s="1324" t="s">
        <v>1596</v>
      </c>
      <c r="B34" s="1441"/>
      <c r="C34" s="1441"/>
      <c r="D34" s="1442"/>
      <c r="E34" s="1442"/>
      <c r="F34" s="1443">
        <f>COUNTIF('3B.Demographic'!$R$15:$R$414,$A34)</f>
        <v>0</v>
      </c>
      <c r="G34" s="1444" t="str">
        <f t="shared" si="2"/>
        <v/>
      </c>
      <c r="I34" s="2118">
        <f>' 1A.Prop&amp;Residents'!I84</f>
        <v>0</v>
      </c>
      <c r="J34" s="2119"/>
      <c r="K34" s="2116" t="s">
        <v>115</v>
      </c>
      <c r="L34" s="2122">
        <f>' 1A.Prop&amp;Residents'!K84</f>
        <v>0</v>
      </c>
      <c r="M34" s="2124" t="s">
        <v>115</v>
      </c>
      <c r="N34" s="2125"/>
    </row>
    <row r="35" spans="1:14" ht="15" customHeight="1" thickTop="1">
      <c r="A35" s="1370" t="s">
        <v>1476</v>
      </c>
      <c r="B35" s="1368"/>
      <c r="C35" s="1369"/>
      <c r="D35" s="1369"/>
      <c r="E35" s="1369"/>
      <c r="F35" s="1339">
        <f>SUM(F22:F34)</f>
        <v>0</v>
      </c>
      <c r="G35" s="1323" t="str">
        <f t="shared" si="2"/>
        <v/>
      </c>
      <c r="I35" s="2120"/>
      <c r="J35" s="2121"/>
      <c r="K35" s="2117"/>
      <c r="L35" s="2123"/>
      <c r="M35" s="2126"/>
      <c r="N35" s="2127"/>
    </row>
    <row r="36" spans="1:14" ht="15" customHeight="1">
      <c r="A36" s="1435"/>
      <c r="B36" s="1319"/>
      <c r="C36" s="1319"/>
      <c r="D36" s="1319"/>
      <c r="E36" s="1319"/>
      <c r="F36" s="1319"/>
      <c r="G36" s="1436"/>
      <c r="I36" s="2118">
        <f>' 1A.Prop&amp;Residents'!I85</f>
        <v>0</v>
      </c>
      <c r="J36" s="2119"/>
      <c r="K36" s="2116" t="s">
        <v>116</v>
      </c>
      <c r="L36" s="2122">
        <f>' 1A.Prop&amp;Residents'!K85</f>
        <v>0</v>
      </c>
      <c r="M36" s="2124" t="s">
        <v>116</v>
      </c>
      <c r="N36" s="2125"/>
    </row>
    <row r="37" spans="1:14" ht="29.4" customHeight="1">
      <c r="A37" s="1440" t="s">
        <v>2179</v>
      </c>
      <c r="B37" s="4"/>
      <c r="C37" s="4"/>
      <c r="D37" s="4"/>
      <c r="E37" s="4"/>
      <c r="F37" s="265" t="s">
        <v>1472</v>
      </c>
      <c r="G37" s="1338" t="s">
        <v>1467</v>
      </c>
      <c r="I37" s="2120"/>
      <c r="J37" s="2121"/>
      <c r="K37" s="2117"/>
      <c r="L37" s="2123"/>
      <c r="M37" s="2126"/>
      <c r="N37" s="2127"/>
    </row>
    <row r="38" spans="1:14" ht="15" customHeight="1">
      <c r="A38" s="1356"/>
      <c r="B38" s="1358" t="s">
        <v>2184</v>
      </c>
      <c r="C38" s="1364"/>
      <c r="D38" s="1364"/>
      <c r="E38" s="1364"/>
      <c r="F38" s="1354">
        <f>COUNTIF('3B.Demographic'!$J$15:$J$414,$B38)</f>
        <v>0</v>
      </c>
      <c r="G38" s="1363" t="str">
        <f>IFERROR(F38/$F$46,"")</f>
        <v/>
      </c>
      <c r="I38" s="2118">
        <f>' 1A.Prop&amp;Residents'!I86</f>
        <v>0</v>
      </c>
      <c r="J38" s="2119"/>
      <c r="K38" s="2116" t="s">
        <v>192</v>
      </c>
      <c r="L38" s="2122">
        <f>' 1A.Prop&amp;Residents'!K86</f>
        <v>0</v>
      </c>
      <c r="M38" s="2124" t="s">
        <v>192</v>
      </c>
      <c r="N38" s="2125"/>
    </row>
    <row r="39" spans="1:14" ht="15" customHeight="1">
      <c r="A39" s="1356"/>
      <c r="B39" s="1358" t="s">
        <v>2185</v>
      </c>
      <c r="C39" s="1364"/>
      <c r="D39" s="1364"/>
      <c r="E39" s="1364"/>
      <c r="F39" s="1354">
        <f>COUNTIF('3B.Demographic'!$J$15:$J$414,$B39)</f>
        <v>0</v>
      </c>
      <c r="G39" s="1363" t="str">
        <f t="shared" ref="G39:G46" si="3">IFERROR(F39/$F$46,"")</f>
        <v/>
      </c>
      <c r="I39" s="2120"/>
      <c r="J39" s="2121"/>
      <c r="K39" s="2117"/>
      <c r="L39" s="2123"/>
      <c r="M39" s="2126"/>
      <c r="N39" s="2127"/>
    </row>
    <row r="40" spans="1:14" ht="15" customHeight="1">
      <c r="A40" s="1356"/>
      <c r="B40" s="1358" t="s">
        <v>2186</v>
      </c>
      <c r="C40" s="1364"/>
      <c r="D40" s="1364"/>
      <c r="E40" s="1364"/>
      <c r="F40" s="1354">
        <f>COUNTIF('3B.Demographic'!$J$15:$J$414,$B40)</f>
        <v>0</v>
      </c>
      <c r="G40" s="1363" t="str">
        <f t="shared" si="3"/>
        <v/>
      </c>
      <c r="I40" s="2118">
        <f>' 1A.Prop&amp;Residents'!I87</f>
        <v>0</v>
      </c>
      <c r="J40" s="2119"/>
      <c r="K40" s="2116" t="s">
        <v>798</v>
      </c>
      <c r="L40" s="2122">
        <f>' 1A.Prop&amp;Residents'!K87</f>
        <v>0</v>
      </c>
      <c r="M40" s="2124" t="s">
        <v>798</v>
      </c>
      <c r="N40" s="2125"/>
    </row>
    <row r="41" spans="1:14" ht="15">
      <c r="A41" s="1356"/>
      <c r="B41" s="1358" t="s">
        <v>2187</v>
      </c>
      <c r="C41" s="1364"/>
      <c r="D41" s="1364"/>
      <c r="E41" s="1364"/>
      <c r="F41" s="1354">
        <f>COUNTIF('3B.Demographic'!$J$15:$J$414,$B41)</f>
        <v>0</v>
      </c>
      <c r="G41" s="1363" t="str">
        <f t="shared" si="3"/>
        <v/>
      </c>
      <c r="I41" s="2120"/>
      <c r="J41" s="2121"/>
      <c r="K41" s="2117"/>
      <c r="L41" s="2123"/>
      <c r="M41" s="2126"/>
      <c r="N41" s="2127"/>
    </row>
    <row r="42" spans="1:14" ht="15">
      <c r="A42" s="1356"/>
      <c r="B42" s="1358" t="s">
        <v>2188</v>
      </c>
      <c r="C42" s="1364"/>
      <c r="D42" s="1364"/>
      <c r="E42" s="1364"/>
      <c r="F42" s="1354">
        <f>COUNTIF('3B.Demographic'!$J$15:$J$414,$B42)</f>
        <v>0</v>
      </c>
      <c r="G42" s="1363" t="str">
        <f t="shared" si="3"/>
        <v/>
      </c>
    </row>
    <row r="43" spans="1:14" ht="15">
      <c r="A43" s="1356"/>
      <c r="B43" s="1358" t="s">
        <v>2189</v>
      </c>
      <c r="C43" s="1364"/>
      <c r="D43" s="1364"/>
      <c r="E43" s="1364"/>
      <c r="F43" s="1354">
        <f>COUNTIF('3B.Demographic'!$J$15:$J$414,$B43)</f>
        <v>0</v>
      </c>
      <c r="G43" s="1363" t="str">
        <f t="shared" si="3"/>
        <v/>
      </c>
    </row>
    <row r="44" spans="1:14" ht="15">
      <c r="A44" s="1356"/>
      <c r="B44" s="1358" t="s">
        <v>2190</v>
      </c>
      <c r="C44" s="1364"/>
      <c r="D44" s="1364"/>
      <c r="E44" s="1364"/>
      <c r="F44" s="1354">
        <f>COUNTIF('3B.Demographic'!$J$15:$J$414,$B44)</f>
        <v>0</v>
      </c>
      <c r="G44" s="1363" t="str">
        <f t="shared" si="3"/>
        <v/>
      </c>
      <c r="H44" s="1321"/>
      <c r="I44" s="1321"/>
      <c r="J44" s="4"/>
      <c r="K44" s="4"/>
      <c r="L44" s="4"/>
      <c r="M44" s="4"/>
    </row>
    <row r="45" spans="1:14" ht="15">
      <c r="A45" s="1586"/>
      <c r="B45" s="1432" t="s">
        <v>2191</v>
      </c>
      <c r="C45" s="1433"/>
      <c r="D45" s="1433"/>
      <c r="E45" s="1433"/>
      <c r="F45" s="1354">
        <f>COUNTIF('3B.Demographic'!$J$15:$J$414,$B45)</f>
        <v>0</v>
      </c>
      <c r="G45" s="1593" t="str">
        <f t="shared" si="3"/>
        <v/>
      </c>
    </row>
    <row r="46" spans="1:14" ht="15.6">
      <c r="A46" s="1589" t="s">
        <v>1476</v>
      </c>
      <c r="B46" s="1590"/>
      <c r="C46" s="1591"/>
      <c r="D46" s="1591"/>
      <c r="E46" s="1592"/>
      <c r="F46" s="1587">
        <f>SUM(F38:F45)</f>
        <v>0</v>
      </c>
      <c r="G46" s="1594" t="str">
        <f t="shared" si="3"/>
        <v/>
      </c>
    </row>
    <row r="47" spans="1:14" ht="15.6">
      <c r="A47" s="1440"/>
      <c r="B47" s="1437"/>
      <c r="C47" s="1438"/>
      <c r="D47" s="1438"/>
      <c r="E47" s="1438"/>
      <c r="F47" s="1585"/>
      <c r="G47" s="1439"/>
    </row>
    <row r="48" spans="1:14" ht="27">
      <c r="A48" s="1317" t="s">
        <v>2201</v>
      </c>
      <c r="F48" s="265" t="s">
        <v>1472</v>
      </c>
      <c r="G48" s="1338" t="s">
        <v>1467</v>
      </c>
    </row>
    <row r="49" spans="1:7" ht="15">
      <c r="A49" s="1356"/>
      <c r="B49" s="1358" t="s">
        <v>2194</v>
      </c>
      <c r="C49" s="1364"/>
      <c r="D49" s="1364"/>
      <c r="E49" s="1364"/>
      <c r="F49" s="1354">
        <f>COUNTIF('3B.Demographic'!$K$15:$K$414,$B49)</f>
        <v>0</v>
      </c>
      <c r="G49" s="1355" t="str">
        <f t="shared" ref="G49:G57" si="4">IFERROR(F49/$F$57,"")</f>
        <v/>
      </c>
    </row>
    <row r="50" spans="1:7" ht="15">
      <c r="A50" s="1356"/>
      <c r="B50" s="1358" t="s">
        <v>2195</v>
      </c>
      <c r="C50" s="1364"/>
      <c r="D50" s="1364"/>
      <c r="E50" s="1364"/>
      <c r="F50" s="1354">
        <f>COUNTIF('3B.Demographic'!$K$15:$K$414,$B50)</f>
        <v>0</v>
      </c>
      <c r="G50" s="1355" t="str">
        <f t="shared" si="4"/>
        <v/>
      </c>
    </row>
    <row r="51" spans="1:7" ht="15">
      <c r="A51" s="1356"/>
      <c r="B51" s="1358" t="s">
        <v>2196</v>
      </c>
      <c r="C51" s="1364"/>
      <c r="D51" s="1364"/>
      <c r="E51" s="1364"/>
      <c r="F51" s="1354">
        <f>COUNTIF('3B.Demographic'!$K$15:$K$414,$B51)</f>
        <v>0</v>
      </c>
      <c r="G51" s="1355" t="str">
        <f t="shared" si="4"/>
        <v/>
      </c>
    </row>
    <row r="52" spans="1:7" ht="15">
      <c r="A52" s="1356"/>
      <c r="B52" s="1358" t="s">
        <v>2197</v>
      </c>
      <c r="C52" s="1364"/>
      <c r="D52" s="1364"/>
      <c r="E52" s="1364"/>
      <c r="F52" s="1354">
        <f>COUNTIF('3B.Demographic'!$K$15:$K$414,$B52)</f>
        <v>0</v>
      </c>
      <c r="G52" s="1355" t="str">
        <f t="shared" si="4"/>
        <v/>
      </c>
    </row>
    <row r="53" spans="1:7" ht="15">
      <c r="A53" s="1356"/>
      <c r="B53" s="1358" t="s">
        <v>2198</v>
      </c>
      <c r="C53" s="1364"/>
      <c r="D53" s="1364"/>
      <c r="E53" s="1364"/>
      <c r="F53" s="1354">
        <f>COUNTIF('3B.Demographic'!$K$15:$K$414,$B53)</f>
        <v>0</v>
      </c>
      <c r="G53" s="1355" t="str">
        <f t="shared" si="4"/>
        <v/>
      </c>
    </row>
    <row r="54" spans="1:7" ht="15">
      <c r="A54" s="1356"/>
      <c r="B54" s="1358" t="s">
        <v>2192</v>
      </c>
      <c r="C54" s="1364"/>
      <c r="D54" s="1364"/>
      <c r="E54" s="1364"/>
      <c r="F54" s="1354">
        <f>COUNTIF('3B.Demographic'!$K$15:$K$414,$B54)</f>
        <v>0</v>
      </c>
      <c r="G54" s="1355" t="str">
        <f t="shared" si="4"/>
        <v/>
      </c>
    </row>
    <row r="55" spans="1:7" ht="15">
      <c r="A55" s="1356"/>
      <c r="B55" s="1358" t="s">
        <v>2193</v>
      </c>
      <c r="C55" s="1364"/>
      <c r="D55" s="1364"/>
      <c r="E55" s="1364"/>
      <c r="F55" s="1354">
        <f>COUNTIF('3B.Demographic'!$K$15:$K$414,$B55)</f>
        <v>0</v>
      </c>
      <c r="G55" s="1355" t="str">
        <f t="shared" si="4"/>
        <v/>
      </c>
    </row>
    <row r="56" spans="1:7" ht="15">
      <c r="A56" s="1356"/>
      <c r="B56" s="1358" t="s">
        <v>2191</v>
      </c>
      <c r="C56" s="1364"/>
      <c r="D56" s="1364"/>
      <c r="E56" s="1364"/>
      <c r="F56" s="1354">
        <f>COUNTIF('3B.Demographic'!$K$15:$K$414,$B56)</f>
        <v>0</v>
      </c>
      <c r="G56" s="1355" t="str">
        <f t="shared" si="4"/>
        <v/>
      </c>
    </row>
    <row r="57" spans="1:7" ht="15.6">
      <c r="A57" s="1589" t="s">
        <v>1476</v>
      </c>
      <c r="B57" s="1590"/>
      <c r="C57" s="1591"/>
      <c r="D57" s="1591"/>
      <c r="E57" s="1592"/>
      <c r="F57" s="1587">
        <f>SUM(F49:F56)</f>
        <v>0</v>
      </c>
      <c r="G57" s="1588" t="str">
        <f t="shared" si="4"/>
        <v/>
      </c>
    </row>
  </sheetData>
  <sheetProtection algorithmName="SHA-512" hashValue="lXrbTMagsyaxQf2nabu0yjCES7DOBNq3ot6C485y0PrbOC/aouuFHsu0HjeiRU6VIZThpw4rVmp/gKrZmiPnAA==" saltValue="E/wxSRbC4w07Aabp/PDi/w==" spinCount="100000" sheet="1" objects="1" scenarios="1"/>
  <mergeCells count="45">
    <mergeCell ref="I38:J39"/>
    <mergeCell ref="K38:K39"/>
    <mergeCell ref="L38:L39"/>
    <mergeCell ref="M38:N39"/>
    <mergeCell ref="I40:J41"/>
    <mergeCell ref="K40:K41"/>
    <mergeCell ref="L40:L41"/>
    <mergeCell ref="M40:N41"/>
    <mergeCell ref="I34:J35"/>
    <mergeCell ref="K34:K35"/>
    <mergeCell ref="L34:L35"/>
    <mergeCell ref="M34:N35"/>
    <mergeCell ref="I36:J37"/>
    <mergeCell ref="K36:K37"/>
    <mergeCell ref="L36:L37"/>
    <mergeCell ref="M36:N37"/>
    <mergeCell ref="I30:J31"/>
    <mergeCell ref="K30:K31"/>
    <mergeCell ref="L30:L31"/>
    <mergeCell ref="M30:N31"/>
    <mergeCell ref="I32:J33"/>
    <mergeCell ref="K32:K33"/>
    <mergeCell ref="L32:L33"/>
    <mergeCell ref="M32:N33"/>
    <mergeCell ref="I26:J27"/>
    <mergeCell ref="K26:K27"/>
    <mergeCell ref="L26:L27"/>
    <mergeCell ref="M26:N27"/>
    <mergeCell ref="I28:J29"/>
    <mergeCell ref="K28:K29"/>
    <mergeCell ref="L28:L29"/>
    <mergeCell ref="M28:N29"/>
    <mergeCell ref="A4:C4"/>
    <mergeCell ref="J4:K4"/>
    <mergeCell ref="D4:G4"/>
    <mergeCell ref="I21:K21"/>
    <mergeCell ref="L21:N21"/>
    <mergeCell ref="K22:K23"/>
    <mergeCell ref="I22:J23"/>
    <mergeCell ref="L22:L23"/>
    <mergeCell ref="M22:N23"/>
    <mergeCell ref="I24:J25"/>
    <mergeCell ref="K24:K25"/>
    <mergeCell ref="L24:L25"/>
    <mergeCell ref="M24:N25"/>
  </mergeCells>
  <dataValidations count="1">
    <dataValidation type="whole" operator="greaterThanOrEqual" allowBlank="1" showInputMessage="1" showErrorMessage="1" error="numbers only in this field!" sqref="I24:J40 I22 L22 L24:L40">
      <formula1>0</formula1>
    </dataValidation>
  </dataValidations>
  <pageMargins left="0.7" right="0.7" top="0.75" bottom="0.75" header="0.3" footer="0.3"/>
  <pageSetup scale="52"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44</vt:i4>
      </vt:variant>
    </vt:vector>
  </HeadingPairs>
  <TitlesOfParts>
    <vt:vector size="58" baseType="lpstr">
      <vt:lpstr>Instructions</vt:lpstr>
      <vt:lpstr>HIDE-ProjList</vt:lpstr>
      <vt:lpstr> 1A.Prop&amp;Residents</vt:lpstr>
      <vt:lpstr>1B.TransitionalProg</vt:lpstr>
      <vt:lpstr>1C.Eviction</vt:lpstr>
      <vt:lpstr>2.Fiscal</vt:lpstr>
      <vt:lpstr>3A.Occpcy&amp;Rent</vt:lpstr>
      <vt:lpstr>3B.Demographic</vt:lpstr>
      <vt:lpstr>3C.DemographicSummary</vt:lpstr>
      <vt:lpstr>4.Narrative</vt:lpstr>
      <vt:lpstr>5.Financing</vt:lpstr>
      <vt:lpstr>6.Services</vt:lpstr>
      <vt:lpstr>7.SuppInfo-Audit</vt:lpstr>
      <vt:lpstr>Completeness Tracker</vt:lpstr>
      <vt:lpstr>_3._Does_the_project_show_an_AVERAGE_VACANT_UNIT_RENT_UP_TIME_GREATER_THAN______30_days__for_question_86_of_the_Project_Activity_Report._If_so__you_must_supply_the_____following</vt:lpstr>
      <vt:lpstr>AffirmativeMarketing</vt:lpstr>
      <vt:lpstr>Codes</vt:lpstr>
      <vt:lpstr>DataEntry</vt:lpstr>
      <vt:lpstr>Marketing</vt:lpstr>
      <vt:lpstr>MiscAdminExp</vt:lpstr>
      <vt:lpstr>MiscOpExp</vt:lpstr>
      <vt:lpstr>NarrativeAffirmMarketing</vt:lpstr>
      <vt:lpstr>NarrativeVacRat</vt:lpstr>
      <vt:lpstr>NegCashFlow</vt:lpstr>
      <vt:lpstr>NegCashFlowNarrative</vt:lpstr>
      <vt:lpstr>Page1</vt:lpstr>
      <vt:lpstr>Page2</vt:lpstr>
      <vt:lpstr>' 1A.Prop&amp;Residents'!Print_Area</vt:lpstr>
      <vt:lpstr>'1B.TransitionalProg'!Print_Area</vt:lpstr>
      <vt:lpstr>'1C.Eviction'!Print_Area</vt:lpstr>
      <vt:lpstr>'2.Fiscal'!Print_Area</vt:lpstr>
      <vt:lpstr>'3A.Occpcy&amp;Rent'!Print_Area</vt:lpstr>
      <vt:lpstr>'3B.Demographic'!Print_Area</vt:lpstr>
      <vt:lpstr>'3C.DemographicSummary'!Print_Area</vt:lpstr>
      <vt:lpstr>'4.Narrative'!Print_Area</vt:lpstr>
      <vt:lpstr>'5.Financing'!Print_Area</vt:lpstr>
      <vt:lpstr>'6.Services'!Print_Area</vt:lpstr>
      <vt:lpstr>'7.SuppInfo-Audit'!Print_Area</vt:lpstr>
      <vt:lpstr>'Completeness Tracker'!Print_Area</vt:lpstr>
      <vt:lpstr>Instructions!Print_Area</vt:lpstr>
      <vt:lpstr>'2.Fiscal'!Print_Titles</vt:lpstr>
      <vt:lpstr>'3A.Occpcy&amp;Rent'!Print_Titles</vt:lpstr>
      <vt:lpstr>'3B.Demographic'!Print_Titles</vt:lpstr>
      <vt:lpstr>'3C.DemographicSummary'!Print_Titles</vt:lpstr>
      <vt:lpstr>PropTaxes</vt:lpstr>
      <vt:lpstr>Repairs</vt:lpstr>
      <vt:lpstr>Replacement</vt:lpstr>
      <vt:lpstr>Service_Provider_Name</vt:lpstr>
      <vt:lpstr>ServicesProvided</vt:lpstr>
      <vt:lpstr>Taxes</vt:lpstr>
      <vt:lpstr>VacantNarrative</vt:lpstr>
      <vt:lpstr>VacantUnit</vt:lpstr>
      <vt:lpstr>VacRate</vt:lpstr>
      <vt:lpstr>VacUnitRentUpTime</vt:lpstr>
      <vt:lpstr>Violation_or_Citation</vt:lpstr>
      <vt:lpstr>Violations</vt:lpstr>
      <vt:lpstr>'3B.Demographic'!WholePage</vt:lpstr>
      <vt:lpstr>WholePage</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bwashing</dc:creator>
  <cp:lastModifiedBy>Mike McLoone</cp:lastModifiedBy>
  <cp:lastPrinted>2017-10-26T23:18:08Z</cp:lastPrinted>
  <dcterms:created xsi:type="dcterms:W3CDTF">2007-04-20T20:38:11Z</dcterms:created>
  <dcterms:modified xsi:type="dcterms:W3CDTF">2019-06-21T00:11:05Z</dcterms:modified>
</cp:coreProperties>
</file>