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joliver\Documents\"/>
    </mc:Choice>
  </mc:AlternateContent>
  <xr:revisionPtr revIDLastSave="0" documentId="8_{B8963D0A-9BEF-4D3D-9FE8-DB87B7D137D5}" xr6:coauthVersionLast="36" xr6:coauthVersionMax="36" xr10:uidLastSave="{00000000-0000-0000-0000-000000000000}"/>
  <bookViews>
    <workbookView xWindow="0" yWindow="0" windowWidth="23040" windowHeight="9072" activeTab="1" xr2:uid="{00000000-000D-0000-FFFF-FFFF00000000}"/>
  </bookViews>
  <sheets>
    <sheet name="1.Project Scoring Rubric" sheetId="5" r:id="rId1"/>
    <sheet name="2.Geographic Equity Data" sheetId="6" r:id="rId2"/>
    <sheet name="3.Intake Form" sheetId="1" r:id="rId3"/>
    <sheet name="SSP_CF" sheetId="2" r:id="rId4"/>
    <sheet name="Supp.Hous" sheetId="3" r:id="rId5"/>
  </sheets>
  <externalReferences>
    <externalReference r:id="rId6"/>
  </externalReferences>
  <definedNames>
    <definedName name="ExternalData_1" localSheetId="1" hidden="1">'2.Geographic Equity Data'!#REF!</definedName>
    <definedName name="ExternalData_4" localSheetId="1" hidden="1">'2.Geographic Equity Data'!#REF!</definedName>
    <definedName name="ExternalData_5" localSheetId="1" hidden="1">'2.Geographic Equity Data'!#REF!</definedName>
    <definedName name="ExternalData_6" localSheetId="1" hidden="1">'2.Geographic Equity Data'!#REF!</definedName>
    <definedName name="rngEthnicity">[1]Demofield!$A$1:$A$3</definedName>
    <definedName name="rngrace">[1]Demofield!$B$1:$B$12</definedName>
  </definedNames>
  <calcPr calcId="191029" iterate="1"/>
</workbook>
</file>

<file path=xl/calcChain.xml><?xml version="1.0" encoding="utf-8"?>
<calcChain xmlns="http://schemas.openxmlformats.org/spreadsheetml/2006/main">
  <c r="C48" i="5" l="1"/>
  <c r="B63" i="1"/>
  <c r="B52" i="1"/>
  <c r="B27" i="1"/>
  <c r="C47" i="1"/>
  <c r="B58" i="1"/>
  <c r="B60" i="1" s="1"/>
  <c r="B40" i="1"/>
  <c r="B28" i="1" l="1"/>
  <c r="B39" i="1" l="1"/>
  <c r="B13" i="2" l="1"/>
  <c r="C13" i="2" s="1"/>
  <c r="D13" i="2" s="1"/>
  <c r="E13" i="2" s="1"/>
  <c r="F13" i="2" s="1"/>
  <c r="G13" i="2" s="1"/>
  <c r="H13" i="2" s="1"/>
  <c r="I13" i="2" s="1"/>
  <c r="J13" i="2" s="1"/>
  <c r="K13" i="2" s="1"/>
  <c r="L13" i="2" s="1"/>
  <c r="M13" i="2" s="1"/>
  <c r="N13" i="2" s="1"/>
  <c r="O13" i="2" s="1"/>
  <c r="P13" i="2" s="1"/>
  <c r="Q13" i="2" s="1"/>
  <c r="R13" i="2" s="1"/>
  <c r="S13" i="2" s="1"/>
  <c r="T13" i="2" s="1"/>
  <c r="U13" i="2" s="1"/>
  <c r="D88" i="3"/>
  <c r="C88" i="3"/>
  <c r="B88" i="3"/>
  <c r="E87" i="3"/>
  <c r="G87" i="3" s="1"/>
  <c r="E86" i="3"/>
  <c r="G86" i="3" s="1"/>
  <c r="E85" i="3"/>
  <c r="G85" i="3" s="1"/>
  <c r="E84" i="3"/>
  <c r="F84" i="3" s="1"/>
  <c r="E83" i="3"/>
  <c r="G83" i="3" s="1"/>
  <c r="E82" i="3"/>
  <c r="G82" i="3" s="1"/>
  <c r="E81" i="3"/>
  <c r="G81" i="3" s="1"/>
  <c r="E80" i="3"/>
  <c r="G80" i="3" s="1"/>
  <c r="E79" i="3"/>
  <c r="B76" i="3"/>
  <c r="F74" i="3"/>
  <c r="D74" i="3"/>
  <c r="E74" i="3" s="1"/>
  <c r="F73" i="3"/>
  <c r="D73" i="3"/>
  <c r="E73" i="3" s="1"/>
  <c r="G73" i="3" s="1"/>
  <c r="H73" i="3" s="1"/>
  <c r="I73" i="3" s="1"/>
  <c r="F72" i="3"/>
  <c r="D72" i="3"/>
  <c r="E72" i="3" s="1"/>
  <c r="G72" i="3" s="1"/>
  <c r="H72" i="3" s="1"/>
  <c r="I72" i="3" s="1"/>
  <c r="D71" i="3"/>
  <c r="E71" i="3" s="1"/>
  <c r="G71" i="3" s="1"/>
  <c r="H71" i="3" s="1"/>
  <c r="B66" i="3"/>
  <c r="B52" i="3"/>
  <c r="B54" i="3" s="1"/>
  <c r="B30" i="3"/>
  <c r="C29" i="3"/>
  <c r="B29" i="3" s="1"/>
  <c r="F26" i="3"/>
  <c r="B58" i="3" s="1"/>
  <c r="F25" i="3"/>
  <c r="B22" i="3"/>
  <c r="B26" i="3" s="1"/>
  <c r="B8" i="3"/>
  <c r="B14" i="2"/>
  <c r="C14" i="2" s="1"/>
  <c r="D14" i="2" s="1"/>
  <c r="E14" i="2" s="1"/>
  <c r="F14" i="2" s="1"/>
  <c r="G14" i="2" s="1"/>
  <c r="H14" i="2" s="1"/>
  <c r="I14" i="2" s="1"/>
  <c r="J14" i="2" s="1"/>
  <c r="K14" i="2" s="1"/>
  <c r="L14" i="2" s="1"/>
  <c r="M14" i="2" s="1"/>
  <c r="N14" i="2" s="1"/>
  <c r="O14" i="2" s="1"/>
  <c r="P14" i="2" s="1"/>
  <c r="Q14" i="2" s="1"/>
  <c r="R14" i="2" s="1"/>
  <c r="S14" i="2" s="1"/>
  <c r="T14" i="2" s="1"/>
  <c r="U14" i="2" s="1"/>
  <c r="A10" i="2"/>
  <c r="A8" i="2"/>
  <c r="A6" i="2"/>
  <c r="A4" i="2"/>
  <c r="C2" i="2"/>
  <c r="D2" i="2" s="1"/>
  <c r="E2" i="2" s="1"/>
  <c r="F2" i="2" s="1"/>
  <c r="G2" i="2" s="1"/>
  <c r="H2" i="2" s="1"/>
  <c r="I2" i="2" s="1"/>
  <c r="J2" i="2" s="1"/>
  <c r="K2" i="2" s="1"/>
  <c r="L2" i="2" s="1"/>
  <c r="M2" i="2" s="1"/>
  <c r="N2" i="2" s="1"/>
  <c r="O2" i="2" s="1"/>
  <c r="P2" i="2" s="1"/>
  <c r="Q2" i="2" s="1"/>
  <c r="R2" i="2" s="1"/>
  <c r="S2" i="2" s="1"/>
  <c r="T2" i="2" s="1"/>
  <c r="U2" i="2" s="1"/>
  <c r="C1" i="2"/>
  <c r="D1" i="2" s="1"/>
  <c r="E1" i="2" s="1"/>
  <c r="F1" i="2" s="1"/>
  <c r="G1" i="2" s="1"/>
  <c r="H1" i="2" s="1"/>
  <c r="I1" i="2" s="1"/>
  <c r="J1" i="2" s="1"/>
  <c r="K1" i="2" s="1"/>
  <c r="L1" i="2" s="1"/>
  <c r="M1" i="2" s="1"/>
  <c r="N1" i="2" s="1"/>
  <c r="O1" i="2" s="1"/>
  <c r="P1" i="2" s="1"/>
  <c r="Q1" i="2" s="1"/>
  <c r="R1" i="2" s="1"/>
  <c r="S1" i="2" s="1"/>
  <c r="T1" i="2" s="1"/>
  <c r="U1" i="2" s="1"/>
  <c r="D99" i="1"/>
  <c r="C99" i="1"/>
  <c r="B99" i="1"/>
  <c r="E98" i="1"/>
  <c r="F98" i="1" s="1"/>
  <c r="E97" i="1"/>
  <c r="F97" i="1" s="1"/>
  <c r="E96" i="1"/>
  <c r="F96" i="1" s="1"/>
  <c r="E95" i="1"/>
  <c r="G95" i="1" s="1"/>
  <c r="E94" i="1"/>
  <c r="G94" i="1" s="1"/>
  <c r="E93" i="1"/>
  <c r="G93" i="1" s="1"/>
  <c r="E92" i="1"/>
  <c r="E91" i="1"/>
  <c r="F91" i="1" s="1"/>
  <c r="E90" i="1"/>
  <c r="F90" i="1" s="1"/>
  <c r="B87" i="1"/>
  <c r="F85" i="1"/>
  <c r="D85" i="1"/>
  <c r="E85" i="1" s="1"/>
  <c r="F84" i="1"/>
  <c r="D84" i="1"/>
  <c r="E84" i="1" s="1"/>
  <c r="F83" i="1"/>
  <c r="D83" i="1"/>
  <c r="E83" i="1" s="1"/>
  <c r="D82" i="1"/>
  <c r="E82" i="1" s="1"/>
  <c r="G82" i="1" s="1"/>
  <c r="H82" i="1" s="1"/>
  <c r="B79" i="1"/>
  <c r="B7" i="2" s="1"/>
  <c r="B68" i="1"/>
  <c r="G26" i="1"/>
  <c r="G25" i="1"/>
  <c r="B74" i="1" s="1"/>
  <c r="B5" i="2" s="1"/>
  <c r="B20" i="1"/>
  <c r="B24" i="1" s="1"/>
  <c r="F83" i="3" l="1"/>
  <c r="G84" i="3"/>
  <c r="E88" i="3"/>
  <c r="G88" i="3" s="1"/>
  <c r="F85" i="3"/>
  <c r="F79" i="3"/>
  <c r="G85" i="1"/>
  <c r="H85" i="1" s="1"/>
  <c r="I85" i="1" s="1"/>
  <c r="G98" i="1"/>
  <c r="F27" i="3"/>
  <c r="C66" i="3" s="1"/>
  <c r="G74" i="3"/>
  <c r="H74" i="3" s="1"/>
  <c r="I74" i="3" s="1"/>
  <c r="F87" i="3"/>
  <c r="G84" i="1"/>
  <c r="H84" i="1" s="1"/>
  <c r="I84" i="1" s="1"/>
  <c r="G79" i="3"/>
  <c r="G91" i="1"/>
  <c r="G83" i="1"/>
  <c r="H83" i="1" s="1"/>
  <c r="I83" i="1" s="1"/>
  <c r="G90" i="1"/>
  <c r="G96" i="1"/>
  <c r="E99" i="1"/>
  <c r="G99" i="1" s="1"/>
  <c r="C7" i="2"/>
  <c r="B8" i="2"/>
  <c r="I71" i="3"/>
  <c r="B33" i="3"/>
  <c r="B31" i="3"/>
  <c r="B38" i="3"/>
  <c r="I82" i="1"/>
  <c r="B6" i="2"/>
  <c r="C5" i="2"/>
  <c r="G27" i="1"/>
  <c r="F92" i="1"/>
  <c r="G97" i="1"/>
  <c r="F94" i="1"/>
  <c r="G92" i="1"/>
  <c r="F95" i="1"/>
  <c r="F82" i="3"/>
  <c r="F93" i="1"/>
  <c r="F80" i="3"/>
  <c r="F86" i="3"/>
  <c r="F81" i="3"/>
  <c r="C21" i="3" l="1"/>
  <c r="I76" i="3"/>
  <c r="H76" i="3"/>
  <c r="F88" i="3"/>
  <c r="I87" i="1"/>
  <c r="H87" i="1"/>
  <c r="F99" i="1"/>
  <c r="B43" i="3"/>
  <c r="B44" i="3" s="1"/>
  <c r="B32" i="3"/>
  <c r="B35" i="3" s="1"/>
  <c r="C19" i="1"/>
  <c r="C68" i="1"/>
  <c r="D7" i="2"/>
  <c r="C8" i="2"/>
  <c r="D5" i="2"/>
  <c r="C6" i="2"/>
  <c r="B3" i="2" l="1"/>
  <c r="B4" i="2" s="1"/>
  <c r="B101" i="1"/>
  <c r="B9" i="2"/>
  <c r="C9" i="2" s="1"/>
  <c r="E5" i="2"/>
  <c r="D6" i="2"/>
  <c r="E7" i="2"/>
  <c r="D8" i="2"/>
  <c r="C3" i="2" l="1"/>
  <c r="C4" i="2" s="1"/>
  <c r="B10" i="2"/>
  <c r="B11" i="2" s="1"/>
  <c r="B16" i="2" s="1"/>
  <c r="G17" i="1" s="1"/>
  <c r="D9" i="2"/>
  <c r="C10" i="2"/>
  <c r="E6" i="2"/>
  <c r="F5" i="2"/>
  <c r="F7" i="2"/>
  <c r="E8" i="2"/>
  <c r="B17" i="2" l="1"/>
  <c r="B53" i="1" s="1"/>
  <c r="B54" i="1" s="1"/>
  <c r="C11" i="2"/>
  <c r="C16" i="2" s="1"/>
  <c r="D3" i="2"/>
  <c r="E3" i="2" s="1"/>
  <c r="F3" i="2" s="1"/>
  <c r="F8" i="2"/>
  <c r="G7" i="2"/>
  <c r="E9" i="2"/>
  <c r="D10" i="2"/>
  <c r="G5" i="2"/>
  <c r="F6" i="2"/>
  <c r="B18" i="2" l="1"/>
  <c r="C18" i="2"/>
  <c r="G10" i="1"/>
  <c r="B48" i="1" s="1"/>
  <c r="E4" i="2"/>
  <c r="D4" i="2"/>
  <c r="D11" i="2" s="1"/>
  <c r="D16" i="2" s="1"/>
  <c r="D18" i="2" s="1"/>
  <c r="E10" i="2"/>
  <c r="F9" i="2"/>
  <c r="F4" i="2"/>
  <c r="G3" i="2"/>
  <c r="G6" i="2"/>
  <c r="H5" i="2"/>
  <c r="G8" i="2"/>
  <c r="H7" i="2"/>
  <c r="H10" i="1" l="1"/>
  <c r="E11" i="2"/>
  <c r="E16" i="2" s="1"/>
  <c r="E18" i="2" s="1"/>
  <c r="H3" i="2"/>
  <c r="G4" i="2"/>
  <c r="H6" i="2"/>
  <c r="I5" i="2"/>
  <c r="F10" i="2"/>
  <c r="F11" i="2" s="1"/>
  <c r="F16" i="2" s="1"/>
  <c r="F18" i="2" s="1"/>
  <c r="G9" i="2"/>
  <c r="H8" i="2"/>
  <c r="I7" i="2"/>
  <c r="G10" i="2" l="1"/>
  <c r="G11" i="2" s="1"/>
  <c r="G16" i="2" s="1"/>
  <c r="G18" i="2" s="1"/>
  <c r="H9" i="2"/>
  <c r="I6" i="2"/>
  <c r="J5" i="2"/>
  <c r="I8" i="2"/>
  <c r="J7" i="2"/>
  <c r="H4" i="2"/>
  <c r="I3" i="2"/>
  <c r="K7" i="2" l="1"/>
  <c r="J8" i="2"/>
  <c r="H10" i="2"/>
  <c r="H11" i="2" s="1"/>
  <c r="H16" i="2" s="1"/>
  <c r="H18" i="2" s="1"/>
  <c r="I9" i="2"/>
  <c r="J6" i="2"/>
  <c r="K5" i="2"/>
  <c r="I4" i="2"/>
  <c r="J3" i="2"/>
  <c r="J9" i="2" l="1"/>
  <c r="I10" i="2"/>
  <c r="I11" i="2" s="1"/>
  <c r="I16" i="2" s="1"/>
  <c r="L5" i="2"/>
  <c r="K6" i="2"/>
  <c r="L7" i="2"/>
  <c r="K8" i="2"/>
  <c r="K3" i="2"/>
  <c r="J4" i="2"/>
  <c r="M7" i="2" l="1"/>
  <c r="L8" i="2"/>
  <c r="M5" i="2"/>
  <c r="L6" i="2"/>
  <c r="K9" i="2"/>
  <c r="J10" i="2"/>
  <c r="J11" i="2" s="1"/>
  <c r="J16" i="2" s="1"/>
  <c r="K4" i="2"/>
  <c r="L3" i="2"/>
  <c r="L9" i="2" l="1"/>
  <c r="K10" i="2"/>
  <c r="K11" i="2" s="1"/>
  <c r="K16" i="2" s="1"/>
  <c r="M6" i="2"/>
  <c r="N5" i="2"/>
  <c r="M3" i="2"/>
  <c r="L4" i="2"/>
  <c r="N7" i="2"/>
  <c r="M8" i="2"/>
  <c r="N3" i="2" l="1"/>
  <c r="M4" i="2"/>
  <c r="O5" i="2"/>
  <c r="N6" i="2"/>
  <c r="M9" i="2"/>
  <c r="L10" i="2"/>
  <c r="L11" i="2" s="1"/>
  <c r="L16" i="2" s="1"/>
  <c r="N8" i="2"/>
  <c r="O7" i="2"/>
  <c r="O6" i="2" l="1"/>
  <c r="P5" i="2"/>
  <c r="O8" i="2"/>
  <c r="P7" i="2"/>
  <c r="O3" i="2"/>
  <c r="N4" i="2"/>
  <c r="M10" i="2"/>
  <c r="M11" i="2" s="1"/>
  <c r="M16" i="2" s="1"/>
  <c r="N9" i="2"/>
  <c r="P8" i="2" l="1"/>
  <c r="Q7" i="2"/>
  <c r="N10" i="2"/>
  <c r="N11" i="2" s="1"/>
  <c r="N16" i="2" s="1"/>
  <c r="O9" i="2"/>
  <c r="P3" i="2"/>
  <c r="O4" i="2"/>
  <c r="P6" i="2"/>
  <c r="Q5" i="2"/>
  <c r="P4" i="2" l="1"/>
  <c r="Q3" i="2"/>
  <c r="O10" i="2"/>
  <c r="O11" i="2" s="1"/>
  <c r="O16" i="2" s="1"/>
  <c r="P9" i="2"/>
  <c r="Q8" i="2"/>
  <c r="R7" i="2"/>
  <c r="Q6" i="2"/>
  <c r="R5" i="2"/>
  <c r="S7" i="2" l="1"/>
  <c r="R8" i="2"/>
  <c r="P10" i="2"/>
  <c r="P11" i="2" s="1"/>
  <c r="P16" i="2" s="1"/>
  <c r="Q9" i="2"/>
  <c r="Q4" i="2"/>
  <c r="R3" i="2"/>
  <c r="R6" i="2"/>
  <c r="S5" i="2"/>
  <c r="R4" i="2" l="1"/>
  <c r="S3" i="2"/>
  <c r="T5" i="2"/>
  <c r="S6" i="2"/>
  <c r="R9" i="2"/>
  <c r="Q10" i="2"/>
  <c r="Q11" i="2" s="1"/>
  <c r="Q16" i="2" s="1"/>
  <c r="T7" i="2"/>
  <c r="S8" i="2"/>
  <c r="U7" i="2" l="1"/>
  <c r="U8" i="2" s="1"/>
  <c r="T8" i="2"/>
  <c r="S9" i="2"/>
  <c r="R10" i="2"/>
  <c r="R11" i="2" s="1"/>
  <c r="R16" i="2" s="1"/>
  <c r="U5" i="2"/>
  <c r="U6" i="2" s="1"/>
  <c r="T6" i="2"/>
  <c r="S4" i="2"/>
  <c r="T3" i="2"/>
  <c r="T9" i="2" l="1"/>
  <c r="S10" i="2"/>
  <c r="S11" i="2" s="1"/>
  <c r="S16" i="2" s="1"/>
  <c r="U3" i="2"/>
  <c r="T4" i="2"/>
  <c r="U4" i="2" l="1"/>
  <c r="U9" i="2"/>
  <c r="U10" i="2" s="1"/>
  <c r="T10" i="2"/>
  <c r="T11" i="2" s="1"/>
  <c r="T16" i="2" s="1"/>
  <c r="U11" i="2" l="1"/>
  <c r="U16" i="2" s="1"/>
  <c r="B38" i="1"/>
  <c r="B32" i="1"/>
  <c r="B36" i="1"/>
  <c r="B42" i="1" s="1"/>
  <c r="B30" i="1" l="1"/>
  <c r="B43" i="1"/>
  <c r="B31" i="1" l="1"/>
  <c r="B33" i="1" s="1"/>
  <c r="G5" i="1" l="1"/>
  <c r="G6" i="1"/>
  <c r="G9" i="1"/>
  <c r="H9" i="1"/>
  <c r="G11" i="1"/>
  <c r="H11" i="1"/>
  <c r="B46" i="1"/>
  <c r="B47" i="1"/>
  <c r="B49" i="1"/>
  <c r="B70" i="1"/>
  <c r="C70" i="1"/>
  <c r="F4" i="3"/>
  <c r="G4" i="3"/>
  <c r="H4" i="3"/>
  <c r="F7" i="3"/>
  <c r="F8" i="3"/>
  <c r="B47" i="3"/>
  <c r="B48" i="3"/>
  <c r="B49" i="3"/>
  <c r="B68" i="3"/>
  <c r="C68"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03023BC-B7D7-44B6-AD1F-8270B77A5800}" keepAlive="1" name="Query - yo" description="Connection to the 'yo' query in the workbook." type="5" refreshedVersion="7" background="1" saveData="1">
    <dbPr connection="Provider=Microsoft.Mashup.OleDb.1;Data Source=$Workbook$;Location=yo;Extended Properties=&quot;&quot;" command="SELECT * FROM [yo]"/>
  </connection>
  <connection id="2" xr16:uid="{C216B9D2-AD8D-45A5-94B7-43DE73D5D036}" keepAlive="1" name="Query - yo (7)" description="Connection to the 'yo (7)' query in the workbook." type="5" refreshedVersion="7" background="1" saveData="1">
    <dbPr connection="Provider=Microsoft.Mashup.OleDb.1;Data Source=$Workbook$;Location=&quot;yo (7)&quot;;Extended Properties=&quot;&quot;" command="SELECT * FROM [yo (7)]"/>
  </connection>
  <connection id="3" xr16:uid="{3F82F965-B56A-485C-92EF-6F1198D88987}" keepAlive="1" name="Query - yo (8)" description="Connection to the 'yo (8)' query in the workbook." type="5" refreshedVersion="7" background="1" saveData="1">
    <dbPr connection="Provider=Microsoft.Mashup.OleDb.1;Data Source=$Workbook$;Location=&quot;yo (8)&quot;;Extended Properties=&quot;&quot;" command="SELECT * FROM [yo (8)]"/>
  </connection>
</connections>
</file>

<file path=xl/sharedStrings.xml><?xml version="1.0" encoding="utf-8"?>
<sst xmlns="http://schemas.openxmlformats.org/spreadsheetml/2006/main" count="352" uniqueCount="201">
  <si>
    <t>Green shade = User Input</t>
  </si>
  <si>
    <t>PROJECT INFORMATION</t>
  </si>
  <si>
    <t>MOHCD FUNDING</t>
  </si>
  <si>
    <t>VALUE</t>
  </si>
  <si>
    <t>PER UNIT</t>
  </si>
  <si>
    <t>Developer Name</t>
  </si>
  <si>
    <t>Local CBO</t>
  </si>
  <si>
    <t>Total Project Cost</t>
  </si>
  <si>
    <t>Property Address</t>
  </si>
  <si>
    <t>1234 Property Place</t>
  </si>
  <si>
    <t>PASS Mortgage</t>
  </si>
  <si>
    <t>Neighborhood/Sup District</t>
  </si>
  <si>
    <t>1-11</t>
  </si>
  <si>
    <t>MOHCD Gap</t>
  </si>
  <si>
    <t>Residential Units</t>
  </si>
  <si>
    <t>Commercial Units</t>
  </si>
  <si>
    <t>Parking Spaces</t>
  </si>
  <si>
    <t>Interest</t>
  </si>
  <si>
    <t>Nonconforming Spaces (if any)</t>
  </si>
  <si>
    <t>Term</t>
  </si>
  <si>
    <t>Years</t>
  </si>
  <si>
    <t>Property Status</t>
  </si>
  <si>
    <t>Post-COPA Listing</t>
  </si>
  <si>
    <t>DSCR</t>
  </si>
  <si>
    <t>If PSA Executed, Relevant Dates</t>
  </si>
  <si>
    <t>Execution</t>
  </si>
  <si>
    <t>BRIDGE FINANCING</t>
  </si>
  <si>
    <t>Months</t>
  </si>
  <si>
    <t>Due Diligence Release</t>
  </si>
  <si>
    <t>1ST DOT</t>
  </si>
  <si>
    <t>Closing</t>
  </si>
  <si>
    <t>Borrower Equity</t>
  </si>
  <si>
    <t>Extention Option</t>
  </si>
  <si>
    <t>PROJECT COST ASSUMPTIONS</t>
  </si>
  <si>
    <t>Notes/Per Unit</t>
  </si>
  <si>
    <t>Operating Period Assumptions</t>
  </si>
  <si>
    <t>Acquisition Related</t>
  </si>
  <si>
    <t>Vacancy</t>
  </si>
  <si>
    <t>Purchase</t>
  </si>
  <si>
    <t>Income Inflator</t>
  </si>
  <si>
    <t>Escrow &amp; Clsg</t>
  </si>
  <si>
    <t>Expense Inflator</t>
  </si>
  <si>
    <t>Appraisal</t>
  </si>
  <si>
    <t>Operating Exp</t>
  </si>
  <si>
    <t>PUPA</t>
  </si>
  <si>
    <t>Site Due Diligence</t>
  </si>
  <si>
    <t>Or best est.</t>
  </si>
  <si>
    <t>PUPA Reserves</t>
  </si>
  <si>
    <t>Legal</t>
  </si>
  <si>
    <t>Subtotal Acquisition</t>
  </si>
  <si>
    <t>Total</t>
  </si>
  <si>
    <t>Rehabilitation</t>
  </si>
  <si>
    <t>Commercial Vacancy</t>
  </si>
  <si>
    <t>Hard Costs</t>
  </si>
  <si>
    <t>ADUs</t>
  </si>
  <si>
    <t>Contingency</t>
  </si>
  <si>
    <t>Incl. LBP &amp; ACM</t>
  </si>
  <si>
    <t>GC OHP</t>
  </si>
  <si>
    <t>Permits</t>
  </si>
  <si>
    <t>Of Hard Costs</t>
  </si>
  <si>
    <t>Other Hard Costs</t>
  </si>
  <si>
    <t>Subtotal Rehab</t>
  </si>
  <si>
    <t>Soft Costs</t>
  </si>
  <si>
    <t>Architect &amp; Engr</t>
  </si>
  <si>
    <t>Constr. Mgr</t>
  </si>
  <si>
    <t>Insurance</t>
  </si>
  <si>
    <t>Taxes</t>
  </si>
  <si>
    <t>Other Soft Costs</t>
  </si>
  <si>
    <t>Soft Contingency</t>
  </si>
  <si>
    <t>Subtotal Soft Costs</t>
  </si>
  <si>
    <t>Bridge Financing</t>
  </si>
  <si>
    <t>Origination Fee</t>
  </si>
  <si>
    <t>Subtotal Bridge Fin</t>
  </si>
  <si>
    <t>Reserves</t>
  </si>
  <si>
    <t>Replacement</t>
  </si>
  <si>
    <t>CNA or UWG</t>
  </si>
  <si>
    <t>Operating</t>
  </si>
  <si>
    <t>Subtotal Reserves</t>
  </si>
  <si>
    <t>Developer Fee</t>
  </si>
  <si>
    <t>Base Fee</t>
  </si>
  <si>
    <t>Per Unit</t>
  </si>
  <si>
    <t>Other Expenses</t>
  </si>
  <si>
    <t>Relocation</t>
  </si>
  <si>
    <t>Total Other Expenses</t>
  </si>
  <si>
    <t>TOTAL ESTIMATED COST</t>
  </si>
  <si>
    <t>Laundry Income</t>
  </si>
  <si>
    <t>Per unit/month</t>
  </si>
  <si>
    <t>Total Annual Laundry</t>
  </si>
  <si>
    <t>Parking Income</t>
  </si>
  <si>
    <t>Paid Spaces</t>
  </si>
  <si>
    <t>Per space/month</t>
  </si>
  <si>
    <t>Total Annual Parking</t>
  </si>
  <si>
    <t>Residential Income</t>
  </si>
  <si>
    <t>Unit Count</t>
  </si>
  <si>
    <t>AMI Level</t>
  </si>
  <si>
    <t>Allowable AMI Rent</t>
  </si>
  <si>
    <t>Pro Forma Rent</t>
  </si>
  <si>
    <t>Utility Allowance</t>
  </si>
  <si>
    <t>Net Rent</t>
  </si>
  <si>
    <t>Project Net Monthly Rent</t>
  </si>
  <si>
    <t>Project Net Annual Rent</t>
  </si>
  <si>
    <t>0BR</t>
  </si>
  <si>
    <t>1BR</t>
  </si>
  <si>
    <t>2BR</t>
  </si>
  <si>
    <t>3BR</t>
  </si>
  <si>
    <t>[Other] SRO</t>
  </si>
  <si>
    <t>TOTALS</t>
  </si>
  <si>
    <t>Commercial Income/Use</t>
  </si>
  <si>
    <t>Square Fee</t>
  </si>
  <si>
    <t>Gross Monthly Rent</t>
  </si>
  <si>
    <t>Deductions</t>
  </si>
  <si>
    <t>Net to Owner Per Month</t>
  </si>
  <si>
    <t>Annual Income</t>
  </si>
  <si>
    <t>Per SF Monthly Rent</t>
  </si>
  <si>
    <t>[Address/Corner Store]</t>
  </si>
  <si>
    <t>[Address]</t>
  </si>
  <si>
    <t>Available for 1st Mortgage @ DSC</t>
  </si>
  <si>
    <t>CASH FLOW</t>
  </si>
  <si>
    <t>Year</t>
  </si>
  <si>
    <t>Laundry</t>
  </si>
  <si>
    <t>Parking</t>
  </si>
  <si>
    <t>Commercial</t>
  </si>
  <si>
    <t>EGI</t>
  </si>
  <si>
    <t>Op Expense</t>
  </si>
  <si>
    <t>NOI</t>
  </si>
  <si>
    <t>MOHCD AMIs</t>
  </si>
  <si>
    <r>
      <rPr>
        <b/>
        <u/>
        <sz val="14"/>
        <color theme="1"/>
        <rFont val="Calibri"/>
        <family val="2"/>
      </rPr>
      <t xml:space="preserve">San Francisco: Supportive Housing </t>
    </r>
    <r>
      <rPr>
        <b/>
        <i/>
        <u/>
        <sz val="14"/>
        <color theme="1"/>
        <rFont val="Calibri"/>
        <family val="2"/>
      </rPr>
      <t>Project Intake &amp; Preliminary Assessment</t>
    </r>
  </si>
  <si>
    <t>PER BED</t>
  </si>
  <si>
    <t>Residential Beds (if relevant)</t>
  </si>
  <si>
    <t>Bonus Fee</t>
  </si>
  <si>
    <t>CBO Engagement</t>
  </si>
  <si>
    <t>CBO Collaboration ($1,500/unit)</t>
  </si>
  <si>
    <t xml:space="preserve">Project Name: </t>
  </si>
  <si>
    <t xml:space="preserve">Project Notes </t>
  </si>
  <si>
    <t xml:space="preserve">Long Term San Francisco Residents </t>
  </si>
  <si>
    <r>
      <t xml:space="preserve">&gt;50% of households have lived in their units for 10+ YRS: </t>
    </r>
    <r>
      <rPr>
        <b/>
        <sz val="11"/>
        <color rgb="FF000000"/>
        <rFont val="Calibri"/>
        <family val="2"/>
        <scheme val="minor"/>
      </rPr>
      <t>15 points</t>
    </r>
  </si>
  <si>
    <t>Vulnerable Populations</t>
  </si>
  <si>
    <t xml:space="preserve"> </t>
  </si>
  <si>
    <t>Housing Affordability (max 15 points)</t>
  </si>
  <si>
    <r>
      <t>33% of households &lt; 100% AMI:</t>
    </r>
    <r>
      <rPr>
        <b/>
        <sz val="11"/>
        <rFont val="Calibri"/>
        <family val="2"/>
      </rPr>
      <t xml:space="preserve"> 5 points</t>
    </r>
  </si>
  <si>
    <t>Maximizing City Impact (max 25 points)</t>
  </si>
  <si>
    <t>Per unit project MOHCD subsidy</t>
  </si>
  <si>
    <r>
      <t xml:space="preserve">&lt; $375,000:  </t>
    </r>
    <r>
      <rPr>
        <b/>
        <sz val="11"/>
        <color rgb="FF000000"/>
        <rFont val="Calibri"/>
        <family val="2"/>
      </rPr>
      <t>25 points</t>
    </r>
    <r>
      <rPr>
        <sz val="11"/>
        <color rgb="FF000000"/>
        <rFont val="Calibri"/>
        <family val="2"/>
      </rPr>
      <t xml:space="preserve"> </t>
    </r>
  </si>
  <si>
    <r>
      <t xml:space="preserve">&lt; $400,000:  </t>
    </r>
    <r>
      <rPr>
        <b/>
        <sz val="11"/>
        <color theme="1"/>
        <rFont val="Calibri"/>
        <family val="2"/>
        <scheme val="minor"/>
      </rPr>
      <t>20 points</t>
    </r>
  </si>
  <si>
    <r>
      <t xml:space="preserve">&lt; $425,000: </t>
    </r>
    <r>
      <rPr>
        <b/>
        <sz val="11"/>
        <color theme="1"/>
        <rFont val="Calibri"/>
        <family val="2"/>
        <scheme val="minor"/>
      </rPr>
      <t xml:space="preserve"> 15 points</t>
    </r>
  </si>
  <si>
    <r>
      <t xml:space="preserve">&lt; $475,000:   </t>
    </r>
    <r>
      <rPr>
        <b/>
        <sz val="11"/>
        <color theme="1"/>
        <rFont val="Calibri"/>
        <family val="2"/>
        <scheme val="minor"/>
      </rPr>
      <t>5 points</t>
    </r>
  </si>
  <si>
    <t xml:space="preserve">Score </t>
  </si>
  <si>
    <t xml:space="preserve">District </t>
  </si>
  <si>
    <r>
      <t xml:space="preserve">Site is located in one of the top five districts underserved by the Housing Preservation Program: </t>
    </r>
    <r>
      <rPr>
        <b/>
        <sz val="11"/>
        <color theme="1"/>
        <rFont val="Calibri"/>
        <family val="2"/>
        <scheme val="major"/>
      </rPr>
      <t>5 points</t>
    </r>
  </si>
  <si>
    <t>Districts</t>
  </si>
  <si>
    <t>Geographic Equity Scoring+Data Sources</t>
  </si>
  <si>
    <t>Other Hard Costs (Seismic Retrofit, etc)</t>
  </si>
  <si>
    <t>Community Stabilization (max 35 points)</t>
  </si>
  <si>
    <r>
      <t xml:space="preserve">&gt;33% of households have lived in their units for 10+ YRS: </t>
    </r>
    <r>
      <rPr>
        <b/>
        <sz val="11"/>
        <color rgb="FF000000"/>
        <rFont val="Calibri"/>
        <family val="2"/>
        <scheme val="minor"/>
      </rPr>
      <t>10 points</t>
    </r>
  </si>
  <si>
    <r>
      <t xml:space="preserve">&lt; $450,000:  </t>
    </r>
    <r>
      <rPr>
        <b/>
        <sz val="11"/>
        <color theme="1"/>
        <rFont val="Calibri"/>
        <family val="2"/>
        <scheme val="minor"/>
      </rPr>
      <t>10 points</t>
    </r>
  </si>
  <si>
    <t>Geographic Equity (max 25 points)</t>
  </si>
  <si>
    <r>
      <rPr>
        <sz val="11"/>
        <rFont val="Calibri"/>
        <family val="2"/>
      </rPr>
      <t>66% of households &lt; 100% AMI</t>
    </r>
    <r>
      <rPr>
        <b/>
        <sz val="11"/>
        <rFont val="Calibri"/>
        <family val="2"/>
      </rPr>
      <t>: 15 points</t>
    </r>
  </si>
  <si>
    <r>
      <t xml:space="preserve">50% of households &lt; 100% AMI: </t>
    </r>
    <r>
      <rPr>
        <b/>
        <sz val="11"/>
        <rFont val="Calibri"/>
        <family val="2"/>
      </rPr>
      <t>10 points</t>
    </r>
  </si>
  <si>
    <r>
      <t xml:space="preserve">&gt;25% of households have lived in their units for 10+ YRS:  </t>
    </r>
    <r>
      <rPr>
        <b/>
        <sz val="11"/>
        <color rgb="FF000000"/>
        <rFont val="Calibri"/>
        <family val="2"/>
      </rPr>
      <t>5 points</t>
    </r>
  </si>
  <si>
    <t>SF Housing Balance Report</t>
  </si>
  <si>
    <t xml:space="preserve">Expanded Cum. Housing Balance Calculation per </t>
  </si>
  <si>
    <t>Units Removed from Protected Status per</t>
  </si>
  <si>
    <t xml:space="preserve">Top 5 Districts Underserved by HPP per </t>
  </si>
  <si>
    <t>MOHCD HPP Pipeline Report</t>
  </si>
  <si>
    <t>+5</t>
  </si>
  <si>
    <t>TBD</t>
  </si>
  <si>
    <t>Number of ADUs</t>
  </si>
  <si>
    <r>
      <t xml:space="preserve">Households in building are at documented immediate risk of eviction or in the process of eviction. At risk buildings include those where tenants are enduring documented harassment, threats of eviction, and have received offers to buy out tenancy, among other indicators: </t>
    </r>
    <r>
      <rPr>
        <b/>
        <sz val="11"/>
        <color rgb="FF000000"/>
        <rFont val="Calibri"/>
        <family val="2"/>
        <scheme val="minor"/>
      </rPr>
      <t>15 points</t>
    </r>
  </si>
  <si>
    <t>Project serves Low or Very-Low Income Households</t>
  </si>
  <si>
    <t>2022-2023 HPP PROJECT SCORING CRITERIA</t>
  </si>
  <si>
    <t>HPP Preliminary Project Assessment</t>
  </si>
  <si>
    <t>Per Unit / %</t>
  </si>
  <si>
    <t>Financing Costs</t>
  </si>
  <si>
    <t>Acquisition Costs</t>
  </si>
  <si>
    <t>Rehabilitation Costs</t>
  </si>
  <si>
    <t>Bridge Financing Capitalized Interest</t>
  </si>
  <si>
    <t>Bridge Financing Origination Fees</t>
  </si>
  <si>
    <t>Developer Fees</t>
  </si>
  <si>
    <t>Acquisition Developer Fee</t>
  </si>
  <si>
    <t>Construction Developer Fee</t>
  </si>
  <si>
    <t>High Impact Bonus Fee</t>
  </si>
  <si>
    <t>Subtotal Acquisition Costs</t>
  </si>
  <si>
    <t>Subtotal Rehabilitation Costs</t>
  </si>
  <si>
    <t>Project Information</t>
  </si>
  <si>
    <t>Subtotal Financing Costs</t>
  </si>
  <si>
    <t>Subtotal Developer Fees</t>
  </si>
  <si>
    <t>25% of OPEX</t>
  </si>
  <si>
    <t>PASS DEBT SERVICE</t>
  </si>
  <si>
    <t>MOHCD Funding</t>
  </si>
  <si>
    <t>PASS Financing Origination Fees</t>
  </si>
  <si>
    <t>PASS Mortgage Terms</t>
  </si>
  <si>
    <t xml:space="preserve">Bridge Loan Term </t>
  </si>
  <si>
    <t>SRO</t>
  </si>
  <si>
    <t xml:space="preserve">Documented Displacement Risk </t>
  </si>
  <si>
    <r>
      <t xml:space="preserve">&gt;33% of households are low-income seniors, persons with disabilities, transitional aged youth, low-income families with children, veterans, re-entry populations, domestic violence survivors, persons living with HIV/AIDs, Transgender persons, low-Income LBGTQ+: </t>
    </r>
    <r>
      <rPr>
        <b/>
        <sz val="11"/>
        <color rgb="FF000000"/>
        <rFont val="Calibri"/>
        <family val="2"/>
        <scheme val="minor"/>
      </rPr>
      <t>5 points</t>
    </r>
  </si>
  <si>
    <t>Underserved BoS District Per SF Housing Balance Report</t>
  </si>
  <si>
    <r>
      <t xml:space="preserve">Districts ranked from lowest to highest per Expanded Cumulative Housing Balance Calculation Table 1B (see tab 2): </t>
    </r>
    <r>
      <rPr>
        <b/>
        <sz val="11"/>
        <color rgb="FF000000"/>
        <rFont val="Calibri"/>
        <family val="2"/>
      </rPr>
      <t>Max 10 points</t>
    </r>
  </si>
  <si>
    <t>BoS District with Highest Number of Units Removed From Protected Status</t>
  </si>
  <si>
    <r>
      <t>Districts ranked from lowest to highest per SF Housing Balance Report's "Units Removed From Protected Status" Table 8 (see tab 2):</t>
    </r>
    <r>
      <rPr>
        <b/>
        <sz val="11"/>
        <color theme="1"/>
        <rFont val="Calibri"/>
        <family val="2"/>
        <scheme val="major"/>
      </rPr>
      <t xml:space="preserve"> Max 10 points</t>
    </r>
  </si>
  <si>
    <t>Underserved BoS District by the Housing Preservation Program</t>
  </si>
  <si>
    <t xml:space="preserve">                                                                                                                        Total Possible Points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</si>
</sst>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1" formatCode="_(* #,##0_);_(* \(#,##0\);_(* &quot;-&quot;_);_(@_)"/>
    <numFmt numFmtId="43" formatCode="_(* #,##0.00_);_(* \(#,##0.00\);_(* &quot;-&quot;??_);_(@_)"/>
    <numFmt numFmtId="164" formatCode="_(* #,##0_);_(* \(#,##0\);_(* &quot;-&quot;??_);_(@_)"/>
    <numFmt numFmtId="165" formatCode="_(* #,##0_);[Red]\(#,##0\);_(* &quot;-&quot;??_);_(@_)"/>
  </numFmts>
  <fonts count="50" x14ac:knownFonts="1">
    <font>
      <sz val="11"/>
      <color theme="1"/>
      <name val="Arial"/>
    </font>
    <font>
      <sz val="11"/>
      <color theme="1"/>
      <name val="Calibri"/>
      <family val="2"/>
      <scheme val="minor"/>
    </font>
    <font>
      <sz val="11"/>
      <color theme="1"/>
      <name val="Calibri"/>
      <family val="2"/>
      <scheme val="minor"/>
    </font>
    <font>
      <b/>
      <u/>
      <sz val="14"/>
      <color theme="1"/>
      <name val="Calibri"/>
      <family val="2"/>
    </font>
    <font>
      <sz val="12"/>
      <color theme="1"/>
      <name val="Calibri"/>
      <family val="2"/>
    </font>
    <font>
      <b/>
      <i/>
      <sz val="12"/>
      <color theme="1"/>
      <name val="Calibri"/>
      <family val="2"/>
    </font>
    <font>
      <b/>
      <u/>
      <sz val="12"/>
      <color theme="1"/>
      <name val="Calibri"/>
      <family val="2"/>
    </font>
    <font>
      <b/>
      <sz val="14"/>
      <color theme="1"/>
      <name val="Calibri"/>
      <family val="2"/>
    </font>
    <font>
      <b/>
      <sz val="12"/>
      <color theme="1"/>
      <name val="Calibri"/>
      <family val="2"/>
    </font>
    <font>
      <sz val="12"/>
      <color rgb="FF0000FF"/>
      <name val="Calibri"/>
      <family val="2"/>
    </font>
    <font>
      <sz val="11"/>
      <name val="Arial"/>
      <family val="2"/>
    </font>
    <font>
      <i/>
      <sz val="12"/>
      <color theme="1"/>
      <name val="Calibri"/>
      <family val="2"/>
    </font>
    <font>
      <b/>
      <sz val="11"/>
      <color theme="1"/>
      <name val="Calibri"/>
      <family val="2"/>
    </font>
    <font>
      <b/>
      <sz val="12"/>
      <color rgb="FF0000FF"/>
      <name val="Calibri"/>
      <family val="2"/>
    </font>
    <font>
      <sz val="11"/>
      <color theme="1"/>
      <name val="Calibri"/>
      <family val="2"/>
    </font>
    <font>
      <sz val="11"/>
      <color rgb="FF0000FF"/>
      <name val="Calibri"/>
      <family val="2"/>
    </font>
    <font>
      <i/>
      <sz val="11"/>
      <color theme="1"/>
      <name val="Calibri"/>
      <family val="2"/>
    </font>
    <font>
      <i/>
      <sz val="10"/>
      <color theme="1"/>
      <name val="Calibri"/>
      <family val="2"/>
    </font>
    <font>
      <b/>
      <i/>
      <u/>
      <sz val="14"/>
      <color theme="1"/>
      <name val="Calibri"/>
      <family val="2"/>
    </font>
    <font>
      <sz val="9"/>
      <color theme="1"/>
      <name val="Calibri"/>
      <family val="2"/>
    </font>
    <font>
      <sz val="11"/>
      <color theme="1"/>
      <name val="Arial"/>
      <family val="2"/>
    </font>
    <font>
      <b/>
      <sz val="11"/>
      <color theme="1"/>
      <name val="Calibri"/>
      <family val="2"/>
      <scheme val="minor"/>
    </font>
    <font>
      <b/>
      <sz val="14"/>
      <color rgb="FF000000"/>
      <name val="Calibri"/>
      <family val="2"/>
    </font>
    <font>
      <u/>
      <sz val="11"/>
      <color theme="5"/>
      <name val="Calibri"/>
      <family val="2"/>
      <scheme val="minor"/>
    </font>
    <font>
      <b/>
      <sz val="12"/>
      <color rgb="FF000000"/>
      <name val="Calibri"/>
      <family val="2"/>
    </font>
    <font>
      <b/>
      <sz val="12"/>
      <name val="Calibri"/>
      <family val="2"/>
      <scheme val="minor"/>
    </font>
    <font>
      <b/>
      <sz val="11"/>
      <color rgb="FF000000"/>
      <name val="Calibri"/>
      <family val="2"/>
    </font>
    <font>
      <sz val="11"/>
      <color theme="5"/>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sz val="11"/>
      <name val="Calibri"/>
      <family val="2"/>
    </font>
    <font>
      <b/>
      <sz val="11"/>
      <name val="Calibri"/>
      <family val="2"/>
    </font>
    <font>
      <sz val="11"/>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sz val="11"/>
      <color theme="1"/>
      <name val="Calibri"/>
      <family val="2"/>
      <scheme val="major"/>
    </font>
    <font>
      <b/>
      <sz val="11"/>
      <color theme="1"/>
      <name val="Calibri"/>
      <family val="2"/>
      <scheme val="major"/>
    </font>
    <font>
      <sz val="11"/>
      <color theme="1"/>
      <name val="Arial"/>
      <family val="2"/>
    </font>
    <font>
      <b/>
      <i/>
      <sz val="14"/>
      <color theme="1"/>
      <name val="Calibri"/>
      <family val="2"/>
    </font>
    <font>
      <b/>
      <sz val="10"/>
      <color theme="1"/>
      <name val="Calibri"/>
      <family val="2"/>
    </font>
    <font>
      <sz val="10"/>
      <color theme="1"/>
      <name val="Calibri"/>
      <family val="2"/>
    </font>
    <font>
      <sz val="11"/>
      <color theme="4"/>
      <name val="Calibri"/>
      <family val="2"/>
    </font>
    <font>
      <b/>
      <i/>
      <sz val="11"/>
      <color theme="1"/>
      <name val="Calibri"/>
      <family val="2"/>
    </font>
    <font>
      <i/>
      <sz val="11"/>
      <color rgb="FF0000FF"/>
      <name val="Calibri"/>
      <family val="2"/>
    </font>
    <font>
      <sz val="10"/>
      <color theme="1"/>
      <name val="Arial"/>
      <family val="2"/>
    </font>
    <font>
      <i/>
      <sz val="10"/>
      <color theme="1"/>
      <name val="Calibri"/>
      <family val="2"/>
      <scheme val="minor"/>
    </font>
    <font>
      <i/>
      <sz val="10"/>
      <color rgb="FF0000FF"/>
      <name val="Calibri"/>
      <family val="2"/>
    </font>
    <font>
      <sz val="11"/>
      <color rgb="FF00B0F0"/>
      <name val="Calibri"/>
      <family val="2"/>
    </font>
  </fonts>
  <fills count="14">
    <fill>
      <patternFill patternType="none"/>
    </fill>
    <fill>
      <patternFill patternType="gray125"/>
    </fill>
    <fill>
      <patternFill patternType="solid">
        <fgColor rgb="FFE2EFD9"/>
        <bgColor rgb="FFE2EFD9"/>
      </patternFill>
    </fill>
    <fill>
      <patternFill patternType="solid">
        <fgColor theme="0"/>
        <bgColor theme="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bgColor indexed="64"/>
      </patternFill>
    </fill>
    <fill>
      <patternFill patternType="solid">
        <fgColor theme="9" tint="0.59999389629810485"/>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rgb="FFE2EFD9"/>
      </patternFill>
    </fill>
    <fill>
      <patternFill patternType="solid">
        <fgColor theme="2" tint="-0.14999847407452621"/>
        <bgColor indexed="64"/>
      </patternFill>
    </fill>
    <fill>
      <patternFill patternType="solid">
        <fgColor rgb="FFF2F2F2"/>
        <bgColor indexed="64"/>
      </patternFill>
    </fill>
  </fills>
  <borders count="5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indexed="64"/>
      </right>
      <top style="thin">
        <color indexed="64"/>
      </top>
      <bottom/>
      <diagonal/>
    </border>
    <border>
      <left style="thin">
        <color indexed="64"/>
      </left>
      <right/>
      <top style="thin">
        <color rgb="FF000000"/>
      </top>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s>
  <cellStyleXfs count="13">
    <xf numFmtId="0" fontId="0" fillId="0" borderId="0"/>
    <xf numFmtId="43" fontId="20" fillId="0" borderId="0" applyFont="0" applyFill="0" applyBorder="0" applyAlignment="0" applyProtection="0"/>
    <xf numFmtId="0" fontId="2" fillId="0" borderId="1"/>
    <xf numFmtId="0" fontId="2" fillId="5" borderId="1" applyNumberFormat="0" applyBorder="0" applyAlignment="0" applyProtection="0"/>
    <xf numFmtId="0" fontId="2" fillId="4" borderId="1" applyNumberFormat="0" applyBorder="0" applyAlignment="0" applyProtection="0"/>
    <xf numFmtId="0" fontId="35" fillId="0" borderId="1" applyNumberFormat="0" applyFill="0" applyBorder="0" applyAlignment="0" applyProtection="0"/>
    <xf numFmtId="0" fontId="36" fillId="0" borderId="1"/>
    <xf numFmtId="9" fontId="39" fillId="0" borderId="0" applyFont="0" applyFill="0" applyBorder="0" applyAlignment="0" applyProtection="0"/>
    <xf numFmtId="0" fontId="20" fillId="0" borderId="1"/>
    <xf numFmtId="43" fontId="20" fillId="0" borderId="1" applyFont="0" applyFill="0" applyBorder="0" applyAlignment="0" applyProtection="0"/>
    <xf numFmtId="0" fontId="1" fillId="0" borderId="1"/>
    <xf numFmtId="0" fontId="1" fillId="5" borderId="1" applyNumberFormat="0" applyBorder="0" applyAlignment="0" applyProtection="0"/>
    <xf numFmtId="0" fontId="1" fillId="4" borderId="1" applyNumberFormat="0" applyBorder="0" applyAlignment="0" applyProtection="0"/>
  </cellStyleXfs>
  <cellXfs count="441">
    <xf numFmtId="0" fontId="0" fillId="0" borderId="0" xfId="0"/>
    <xf numFmtId="0" fontId="3" fillId="0" borderId="0" xfId="0" applyFont="1"/>
    <xf numFmtId="0" fontId="4" fillId="0" borderId="0" xfId="0" applyFont="1"/>
    <xf numFmtId="0" fontId="5" fillId="2" borderId="1" xfId="0" applyFont="1" applyFill="1" applyBorder="1"/>
    <xf numFmtId="0" fontId="6" fillId="0" borderId="0" xfId="0" applyFont="1"/>
    <xf numFmtId="0" fontId="7" fillId="0" borderId="2" xfId="0" applyFont="1" applyBorder="1"/>
    <xf numFmtId="0" fontId="4" fillId="0" borderId="3" xfId="0" applyFont="1" applyBorder="1"/>
    <xf numFmtId="0" fontId="8" fillId="0" borderId="2" xfId="0" applyFont="1" applyBorder="1"/>
    <xf numFmtId="0" fontId="8" fillId="0" borderId="2" xfId="0" applyFont="1" applyBorder="1" applyAlignment="1">
      <alignment horizontal="center"/>
    </xf>
    <xf numFmtId="164" fontId="8" fillId="0" borderId="2" xfId="0" applyNumberFormat="1" applyFont="1" applyBorder="1"/>
    <xf numFmtId="0" fontId="4" fillId="0" borderId="2" xfId="0" applyFont="1" applyBorder="1"/>
    <xf numFmtId="10" fontId="4" fillId="0" borderId="2" xfId="0" applyNumberFormat="1" applyFont="1" applyBorder="1"/>
    <xf numFmtId="0" fontId="12" fillId="0" borderId="2" xfId="0" applyFont="1" applyBorder="1"/>
    <xf numFmtId="0" fontId="13" fillId="2" borderId="2" xfId="0" applyFont="1" applyFill="1" applyBorder="1"/>
    <xf numFmtId="0" fontId="8" fillId="0" borderId="2" xfId="0" applyFont="1" applyBorder="1" applyAlignment="1">
      <alignment horizontal="right"/>
    </xf>
    <xf numFmtId="0" fontId="14" fillId="0" borderId="2" xfId="0" applyFont="1" applyBorder="1"/>
    <xf numFmtId="164" fontId="4" fillId="0" borderId="2" xfId="0" applyNumberFormat="1" applyFont="1" applyBorder="1"/>
    <xf numFmtId="10" fontId="9" fillId="2" borderId="2" xfId="0" applyNumberFormat="1" applyFont="1" applyFill="1" applyBorder="1"/>
    <xf numFmtId="0" fontId="4" fillId="0" borderId="0" xfId="0" applyFont="1" applyAlignment="1">
      <alignment wrapText="1"/>
    </xf>
    <xf numFmtId="0" fontId="8" fillId="0" borderId="2" xfId="0" applyFont="1" applyBorder="1" applyAlignment="1">
      <alignment horizontal="center" wrapText="1"/>
    </xf>
    <xf numFmtId="0" fontId="12" fillId="0" borderId="6" xfId="0" applyFont="1" applyBorder="1" applyAlignment="1">
      <alignment horizontal="left"/>
    </xf>
    <xf numFmtId="0" fontId="12" fillId="0" borderId="3" xfId="0" applyFont="1" applyBorder="1" applyAlignment="1">
      <alignment horizontal="center"/>
    </xf>
    <xf numFmtId="0" fontId="4" fillId="0" borderId="8" xfId="0" applyFont="1" applyBorder="1"/>
    <xf numFmtId="164" fontId="14" fillId="0" borderId="8" xfId="0" applyNumberFormat="1" applyFont="1" applyBorder="1"/>
    <xf numFmtId="164" fontId="9" fillId="2" borderId="9" xfId="0" applyNumberFormat="1" applyFont="1" applyFill="1" applyBorder="1"/>
    <xf numFmtId="164" fontId="4" fillId="0" borderId="8" xfId="0" applyNumberFormat="1" applyFont="1" applyBorder="1"/>
    <xf numFmtId="164" fontId="12" fillId="0" borderId="3" xfId="0" applyNumberFormat="1" applyFont="1" applyBorder="1"/>
    <xf numFmtId="0" fontId="8" fillId="0" borderId="6" xfId="0" applyFont="1" applyBorder="1"/>
    <xf numFmtId="164" fontId="4" fillId="0" borderId="3" xfId="0" applyNumberFormat="1" applyFont="1" applyBorder="1"/>
    <xf numFmtId="9" fontId="9" fillId="2" borderId="10" xfId="0" applyNumberFormat="1" applyFont="1" applyFill="1" applyBorder="1"/>
    <xf numFmtId="0" fontId="4" fillId="0" borderId="11" xfId="0" applyFont="1" applyBorder="1"/>
    <xf numFmtId="164" fontId="15" fillId="2" borderId="9" xfId="0" applyNumberFormat="1" applyFont="1" applyFill="1" applyBorder="1"/>
    <xf numFmtId="9" fontId="14" fillId="0" borderId="2" xfId="0" applyNumberFormat="1" applyFont="1" applyBorder="1"/>
    <xf numFmtId="0" fontId="16" fillId="0" borderId="3" xfId="0" applyFont="1" applyBorder="1"/>
    <xf numFmtId="0" fontId="12" fillId="0" borderId="6" xfId="0" applyFont="1" applyBorder="1"/>
    <xf numFmtId="164" fontId="12" fillId="0" borderId="2" xfId="0" applyNumberFormat="1" applyFont="1" applyBorder="1"/>
    <xf numFmtId="10" fontId="15" fillId="0" borderId="2" xfId="0" applyNumberFormat="1" applyFont="1" applyBorder="1"/>
    <xf numFmtId="10" fontId="14" fillId="0" borderId="2" xfId="0" applyNumberFormat="1" applyFont="1" applyBorder="1"/>
    <xf numFmtId="164" fontId="14" fillId="0" borderId="2" xfId="0" applyNumberFormat="1" applyFont="1" applyBorder="1"/>
    <xf numFmtId="164" fontId="14" fillId="0" borderId="3" xfId="0" applyNumberFormat="1" applyFont="1" applyBorder="1"/>
    <xf numFmtId="164" fontId="4" fillId="0" borderId="0" xfId="0" applyNumberFormat="1" applyFont="1"/>
    <xf numFmtId="0" fontId="12" fillId="0" borderId="0" xfId="0" applyFont="1"/>
    <xf numFmtId="0" fontId="16" fillId="0" borderId="0" xfId="0" applyFont="1"/>
    <xf numFmtId="0" fontId="14" fillId="0" borderId="0" xfId="0" applyFont="1"/>
    <xf numFmtId="164" fontId="14" fillId="0" borderId="5" xfId="0" applyNumberFormat="1" applyFont="1" applyBorder="1"/>
    <xf numFmtId="164" fontId="14" fillId="0" borderId="11" xfId="0" applyNumberFormat="1" applyFont="1" applyBorder="1"/>
    <xf numFmtId="0" fontId="4" fillId="2" borderId="12" xfId="0" applyFont="1" applyFill="1" applyBorder="1"/>
    <xf numFmtId="0" fontId="4" fillId="2" borderId="9" xfId="0" applyFont="1" applyFill="1" applyBorder="1"/>
    <xf numFmtId="0" fontId="4" fillId="2" borderId="10" xfId="0" applyFont="1" applyFill="1" applyBorder="1"/>
    <xf numFmtId="0" fontId="16" fillId="0" borderId="2" xfId="0" applyFont="1" applyBorder="1"/>
    <xf numFmtId="43" fontId="14" fillId="0" borderId="0" xfId="0" applyNumberFormat="1" applyFont="1"/>
    <xf numFmtId="164" fontId="14" fillId="0" borderId="0" xfId="0" applyNumberFormat="1" applyFont="1"/>
    <xf numFmtId="164" fontId="14" fillId="2" borderId="2" xfId="0" applyNumberFormat="1" applyFont="1" applyFill="1" applyBorder="1"/>
    <xf numFmtId="164" fontId="14" fillId="3" borderId="2" xfId="0" applyNumberFormat="1" applyFont="1" applyFill="1" applyBorder="1"/>
    <xf numFmtId="0" fontId="14" fillId="0" borderId="2" xfId="0" applyFont="1" applyBorder="1" applyAlignment="1">
      <alignment horizontal="center"/>
    </xf>
    <xf numFmtId="164" fontId="14" fillId="0" borderId="3" xfId="0" applyNumberFormat="1" applyFont="1" applyBorder="1" applyAlignment="1">
      <alignment horizontal="center" wrapText="1"/>
    </xf>
    <xf numFmtId="164" fontId="14" fillId="0" borderId="3" xfId="0" applyNumberFormat="1" applyFont="1" applyBorder="1" applyAlignment="1">
      <alignment horizontal="center"/>
    </xf>
    <xf numFmtId="164" fontId="14" fillId="0" borderId="5" xfId="0" applyNumberFormat="1" applyFont="1" applyBorder="1" applyAlignment="1">
      <alignment horizontal="center" wrapText="1"/>
    </xf>
    <xf numFmtId="0" fontId="15" fillId="2" borderId="13" xfId="0" applyFont="1" applyFill="1" applyBorder="1"/>
    <xf numFmtId="164" fontId="14" fillId="0" borderId="4" xfId="0" applyNumberFormat="1" applyFont="1" applyBorder="1"/>
    <xf numFmtId="0" fontId="15" fillId="2" borderId="14" xfId="0" applyFont="1" applyFill="1" applyBorder="1"/>
    <xf numFmtId="0" fontId="15" fillId="2" borderId="10" xfId="0" applyFont="1" applyFill="1" applyBorder="1"/>
    <xf numFmtId="164" fontId="14" fillId="0" borderId="15" xfId="0" applyNumberFormat="1" applyFont="1" applyBorder="1"/>
    <xf numFmtId="0" fontId="14" fillId="0" borderId="2" xfId="0" applyFont="1" applyBorder="1" applyAlignment="1">
      <alignment horizontal="center" wrapText="1"/>
    </xf>
    <xf numFmtId="164" fontId="14" fillId="0" borderId="2" xfId="0" applyNumberFormat="1" applyFont="1" applyBorder="1" applyAlignment="1">
      <alignment horizontal="center"/>
    </xf>
    <xf numFmtId="164" fontId="14" fillId="0" borderId="2" xfId="0" applyNumberFormat="1" applyFont="1" applyBorder="1" applyAlignment="1">
      <alignment horizontal="center" wrapText="1"/>
    </xf>
    <xf numFmtId="0" fontId="15" fillId="2" borderId="9" xfId="0" applyFont="1" applyFill="1" applyBorder="1"/>
    <xf numFmtId="41" fontId="15" fillId="2" borderId="9" xfId="0" applyNumberFormat="1" applyFont="1" applyFill="1" applyBorder="1"/>
    <xf numFmtId="4" fontId="14" fillId="0" borderId="8" xfId="0" applyNumberFormat="1" applyFont="1" applyBorder="1"/>
    <xf numFmtId="41" fontId="15" fillId="2" borderId="10" xfId="0" applyNumberFormat="1" applyFont="1" applyFill="1" applyBorder="1"/>
    <xf numFmtId="0" fontId="14" fillId="0" borderId="15" xfId="0" applyFont="1" applyBorder="1"/>
    <xf numFmtId="4" fontId="14" fillId="0" borderId="2" xfId="0" applyNumberFormat="1" applyFont="1" applyBorder="1"/>
    <xf numFmtId="43" fontId="14" fillId="0" borderId="2" xfId="0" applyNumberFormat="1" applyFont="1" applyBorder="1"/>
    <xf numFmtId="41" fontId="12" fillId="0" borderId="3" xfId="0" applyNumberFormat="1" applyFont="1" applyBorder="1"/>
    <xf numFmtId="164" fontId="12" fillId="0" borderId="7" xfId="0" applyNumberFormat="1" applyFont="1" applyBorder="1"/>
    <xf numFmtId="0" fontId="14" fillId="0" borderId="4" xfId="0" applyFont="1" applyBorder="1" applyAlignment="1">
      <alignment horizontal="center"/>
    </xf>
    <xf numFmtId="0" fontId="14" fillId="0" borderId="5" xfId="0" applyFont="1" applyBorder="1" applyAlignment="1">
      <alignment horizontal="center"/>
    </xf>
    <xf numFmtId="165" fontId="14" fillId="0" borderId="0" xfId="0" applyNumberFormat="1" applyFont="1"/>
    <xf numFmtId="165" fontId="14" fillId="0" borderId="8" xfId="0" applyNumberFormat="1" applyFont="1" applyBorder="1"/>
    <xf numFmtId="164" fontId="14" fillId="0" borderId="6" xfId="0" applyNumberFormat="1" applyFont="1" applyBorder="1"/>
    <xf numFmtId="165" fontId="14" fillId="0" borderId="7" xfId="0" applyNumberFormat="1" applyFont="1" applyBorder="1"/>
    <xf numFmtId="165" fontId="14" fillId="0" borderId="3" xfId="0" applyNumberFormat="1" applyFont="1" applyBorder="1"/>
    <xf numFmtId="0" fontId="14" fillId="0" borderId="6" xfId="0" applyFont="1" applyBorder="1"/>
    <xf numFmtId="43" fontId="14" fillId="0" borderId="7" xfId="0" applyNumberFormat="1" applyFont="1" applyBorder="1"/>
    <xf numFmtId="43" fontId="14" fillId="0" borderId="3" xfId="0" applyNumberFormat="1" applyFont="1" applyBorder="1"/>
    <xf numFmtId="0" fontId="4" fillId="2" borderId="2" xfId="0" applyFont="1" applyFill="1" applyBorder="1"/>
    <xf numFmtId="164" fontId="4" fillId="0" borderId="2" xfId="0" applyNumberFormat="1" applyFont="1" applyBorder="1" applyAlignment="1">
      <alignment horizontal="center"/>
    </xf>
    <xf numFmtId="0" fontId="8" fillId="0" borderId="0" xfId="0" applyFont="1"/>
    <xf numFmtId="38" fontId="8" fillId="0" borderId="0" xfId="0" applyNumberFormat="1" applyFont="1"/>
    <xf numFmtId="164" fontId="8" fillId="0" borderId="0" xfId="0" applyNumberFormat="1" applyFont="1"/>
    <xf numFmtId="10" fontId="4" fillId="0" borderId="0" xfId="0" applyNumberFormat="1" applyFont="1"/>
    <xf numFmtId="164" fontId="12" fillId="0" borderId="5" xfId="0" applyNumberFormat="1" applyFont="1" applyBorder="1"/>
    <xf numFmtId="164" fontId="4" fillId="0" borderId="7" xfId="0" applyNumberFormat="1" applyFont="1" applyBorder="1"/>
    <xf numFmtId="164" fontId="4" fillId="0" borderId="11" xfId="0" applyNumberFormat="1" applyFont="1" applyBorder="1"/>
    <xf numFmtId="164" fontId="8" fillId="0" borderId="0" xfId="0" applyNumberFormat="1" applyFont="1" applyAlignment="1">
      <alignment horizontal="center"/>
    </xf>
    <xf numFmtId="164" fontId="4" fillId="0" borderId="0" xfId="0" applyNumberFormat="1" applyFont="1" applyAlignment="1">
      <alignment horizontal="center"/>
    </xf>
    <xf numFmtId="9" fontId="4" fillId="0" borderId="0" xfId="0" applyNumberFormat="1" applyFont="1"/>
    <xf numFmtId="0" fontId="14" fillId="0" borderId="7" xfId="0" applyFont="1" applyBorder="1"/>
    <xf numFmtId="0" fontId="4" fillId="0" borderId="7" xfId="0" applyFont="1" applyBorder="1"/>
    <xf numFmtId="41" fontId="15" fillId="0" borderId="5" xfId="0" applyNumberFormat="1" applyFont="1" applyBorder="1"/>
    <xf numFmtId="41" fontId="15" fillId="0" borderId="8" xfId="0" applyNumberFormat="1" applyFont="1" applyBorder="1"/>
    <xf numFmtId="0" fontId="8" fillId="0" borderId="9" xfId="0" applyFont="1" applyBorder="1"/>
    <xf numFmtId="0" fontId="9" fillId="2" borderId="8" xfId="0" applyFont="1" applyFill="1" applyBorder="1"/>
    <xf numFmtId="0" fontId="9" fillId="2" borderId="8" xfId="0" quotePrefix="1" applyFont="1" applyFill="1" applyBorder="1"/>
    <xf numFmtId="0" fontId="9" fillId="2" borderId="8" xfId="0" applyFont="1" applyFill="1" applyBorder="1" applyAlignment="1">
      <alignment horizontal="right"/>
    </xf>
    <xf numFmtId="0" fontId="11" fillId="0" borderId="9" xfId="0" applyFont="1" applyBorder="1"/>
    <xf numFmtId="0" fontId="11" fillId="0" borderId="10" xfId="0" applyFont="1" applyBorder="1"/>
    <xf numFmtId="0" fontId="9" fillId="2" borderId="11" xfId="0" applyFont="1" applyFill="1" applyBorder="1"/>
    <xf numFmtId="0" fontId="12" fillId="0" borderId="12" xfId="0" applyFont="1" applyBorder="1" applyAlignment="1">
      <alignment horizontal="center"/>
    </xf>
    <xf numFmtId="0" fontId="4" fillId="0" borderId="12" xfId="0" applyFont="1" applyBorder="1"/>
    <xf numFmtId="9" fontId="4" fillId="0" borderId="12" xfId="0" applyNumberFormat="1" applyFont="1" applyBorder="1"/>
    <xf numFmtId="0" fontId="14" fillId="0" borderId="12" xfId="0" applyFont="1" applyBorder="1"/>
    <xf numFmtId="164" fontId="15" fillId="2" borderId="8" xfId="0" applyNumberFormat="1" applyFont="1" applyFill="1" applyBorder="1"/>
    <xf numFmtId="164" fontId="14" fillId="0" borderId="9" xfId="0" applyNumberFormat="1" applyFont="1" applyBorder="1"/>
    <xf numFmtId="0" fontId="4" fillId="0" borderId="9" xfId="0" applyFont="1" applyBorder="1"/>
    <xf numFmtId="10" fontId="4" fillId="0" borderId="9" xfId="0" applyNumberFormat="1" applyFont="1" applyBorder="1"/>
    <xf numFmtId="0" fontId="14" fillId="0" borderId="9" xfId="0" applyFont="1" applyBorder="1"/>
    <xf numFmtId="10" fontId="14" fillId="0" borderId="9" xfId="0" applyNumberFormat="1" applyFont="1" applyBorder="1"/>
    <xf numFmtId="0" fontId="16" fillId="0" borderId="9" xfId="0" applyFont="1" applyBorder="1"/>
    <xf numFmtId="164" fontId="4" fillId="0" borderId="9" xfId="0" applyNumberFormat="1" applyFont="1" applyBorder="1"/>
    <xf numFmtId="0" fontId="4" fillId="0" borderId="10" xfId="0" applyFont="1" applyBorder="1"/>
    <xf numFmtId="0" fontId="8" fillId="0" borderId="14" xfId="0" applyFont="1" applyBorder="1"/>
    <xf numFmtId="0" fontId="4" fillId="0" borderId="14" xfId="0" applyFont="1" applyBorder="1"/>
    <xf numFmtId="0" fontId="12" fillId="0" borderId="12" xfId="0" applyFont="1" applyBorder="1"/>
    <xf numFmtId="164" fontId="4" fillId="2" borderId="8" xfId="0" applyNumberFormat="1" applyFont="1" applyFill="1" applyBorder="1"/>
    <xf numFmtId="164" fontId="15" fillId="0" borderId="9" xfId="0" applyNumberFormat="1" applyFont="1" applyBorder="1"/>
    <xf numFmtId="9" fontId="14" fillId="0" borderId="9" xfId="0" applyNumberFormat="1" applyFont="1" applyBorder="1"/>
    <xf numFmtId="164" fontId="14" fillId="2" borderId="8" xfId="0" applyNumberFormat="1" applyFont="1" applyFill="1" applyBorder="1"/>
    <xf numFmtId="0" fontId="14" fillId="0" borderId="10" xfId="0" applyFont="1" applyBorder="1"/>
    <xf numFmtId="0" fontId="14" fillId="0" borderId="14" xfId="0" applyFont="1" applyBorder="1"/>
    <xf numFmtId="0" fontId="17" fillId="0" borderId="9" xfId="0" applyFont="1" applyBorder="1"/>
    <xf numFmtId="164" fontId="15" fillId="2" borderId="11" xfId="0" applyNumberFormat="1" applyFont="1" applyFill="1" applyBorder="1"/>
    <xf numFmtId="0" fontId="14" fillId="0" borderId="12" xfId="0" applyFont="1" applyBorder="1" applyAlignment="1">
      <alignment horizontal="center"/>
    </xf>
    <xf numFmtId="164" fontId="14" fillId="0" borderId="12" xfId="0" applyNumberFormat="1" applyFont="1" applyBorder="1" applyAlignment="1">
      <alignment horizontal="center"/>
    </xf>
    <xf numFmtId="164" fontId="14" fillId="0" borderId="12" xfId="0" applyNumberFormat="1" applyFont="1" applyBorder="1" applyAlignment="1">
      <alignment horizontal="center" wrapText="1"/>
    </xf>
    <xf numFmtId="164" fontId="14" fillId="0" borderId="12" xfId="0" applyNumberFormat="1" applyFont="1" applyBorder="1"/>
    <xf numFmtId="41" fontId="9" fillId="0" borderId="10" xfId="0" applyNumberFormat="1" applyFont="1" applyBorder="1"/>
    <xf numFmtId="164" fontId="14" fillId="0" borderId="10" xfId="0" applyNumberFormat="1" applyFont="1" applyBorder="1"/>
    <xf numFmtId="164" fontId="14" fillId="0" borderId="13" xfId="0" applyNumberFormat="1" applyFont="1" applyBorder="1" applyAlignment="1">
      <alignment horizontal="right"/>
    </xf>
    <xf numFmtId="164" fontId="14" fillId="0" borderId="14" xfId="0" applyNumberFormat="1" applyFont="1" applyBorder="1"/>
    <xf numFmtId="9" fontId="4" fillId="0" borderId="9" xfId="0" applyNumberFormat="1" applyFont="1" applyBorder="1"/>
    <xf numFmtId="164" fontId="4" fillId="0" borderId="9" xfId="0" applyNumberFormat="1" applyFont="1" applyBorder="1" applyAlignment="1">
      <alignment horizontal="center"/>
    </xf>
    <xf numFmtId="9" fontId="4" fillId="0" borderId="10" xfId="0" applyNumberFormat="1" applyFont="1" applyBorder="1"/>
    <xf numFmtId="164" fontId="4" fillId="0" borderId="10" xfId="0" applyNumberFormat="1" applyFont="1" applyBorder="1"/>
    <xf numFmtId="164" fontId="4" fillId="0" borderId="12" xfId="0" applyNumberFormat="1" applyFont="1" applyBorder="1"/>
    <xf numFmtId="164" fontId="8" fillId="0" borderId="10" xfId="0" applyNumberFormat="1" applyFont="1" applyBorder="1"/>
    <xf numFmtId="0" fontId="4" fillId="0" borderId="12" xfId="0" applyFont="1" applyBorder="1" applyAlignment="1">
      <alignment horizontal="center"/>
    </xf>
    <xf numFmtId="9" fontId="14" fillId="0" borderId="13" xfId="0" applyNumberFormat="1" applyFont="1" applyBorder="1"/>
    <xf numFmtId="9" fontId="14" fillId="0" borderId="14" xfId="0" applyNumberFormat="1" applyFont="1" applyBorder="1"/>
    <xf numFmtId="164" fontId="14" fillId="0" borderId="1" xfId="0" applyNumberFormat="1" applyFont="1" applyBorder="1"/>
    <xf numFmtId="164" fontId="14" fillId="0" borderId="16" xfId="0" applyNumberFormat="1" applyFont="1" applyBorder="1"/>
    <xf numFmtId="0" fontId="16" fillId="0" borderId="18" xfId="0" applyFont="1" applyBorder="1"/>
    <xf numFmtId="0" fontId="16" fillId="0" borderId="19" xfId="0" applyFont="1" applyBorder="1"/>
    <xf numFmtId="0" fontId="16" fillId="0" borderId="20" xfId="0" applyFont="1" applyBorder="1"/>
    <xf numFmtId="164" fontId="14" fillId="0" borderId="17" xfId="0" applyNumberFormat="1" applyFont="1" applyBorder="1"/>
    <xf numFmtId="0" fontId="14" fillId="0" borderId="17" xfId="0" applyFont="1" applyBorder="1"/>
    <xf numFmtId="164" fontId="12" fillId="0" borderId="16" xfId="0" applyNumberFormat="1" applyFont="1" applyBorder="1"/>
    <xf numFmtId="0" fontId="22" fillId="6" borderId="1" xfId="2" applyFont="1" applyFill="1" applyAlignment="1">
      <alignment horizontal="left" vertical="center" wrapText="1" shrinkToFit="1"/>
    </xf>
    <xf numFmtId="0" fontId="23" fillId="0" borderId="1" xfId="2" applyFont="1" applyAlignment="1">
      <alignment vertical="center"/>
    </xf>
    <xf numFmtId="0" fontId="2" fillId="0" borderId="1" xfId="2" applyAlignment="1">
      <alignment vertical="center"/>
    </xf>
    <xf numFmtId="0" fontId="2" fillId="6" borderId="1" xfId="2" applyFill="1" applyAlignment="1">
      <alignment vertical="center"/>
    </xf>
    <xf numFmtId="0" fontId="2" fillId="0" borderId="1" xfId="2"/>
    <xf numFmtId="0" fontId="2" fillId="0" borderId="1" xfId="2" applyAlignment="1">
      <alignment horizontal="center"/>
    </xf>
    <xf numFmtId="0" fontId="2" fillId="6" borderId="1" xfId="2" applyFill="1" applyAlignment="1">
      <alignment horizontal="center"/>
    </xf>
    <xf numFmtId="0" fontId="33" fillId="0" borderId="1" xfId="3" applyFont="1" applyFill="1" applyBorder="1"/>
    <xf numFmtId="0" fontId="33" fillId="0" borderId="1" xfId="3" applyNumberFormat="1" applyFont="1" applyFill="1" applyBorder="1"/>
    <xf numFmtId="0" fontId="34" fillId="0" borderId="1" xfId="2" applyFont="1"/>
    <xf numFmtId="0" fontId="21" fillId="0" borderId="1" xfId="2" applyFont="1" applyAlignment="1">
      <alignment horizontal="center"/>
    </xf>
    <xf numFmtId="0" fontId="35" fillId="0" borderId="1" xfId="5"/>
    <xf numFmtId="0" fontId="36" fillId="0" borderId="1" xfId="6"/>
    <xf numFmtId="0" fontId="0" fillId="0" borderId="1" xfId="6" applyFont="1"/>
    <xf numFmtId="0" fontId="2" fillId="0" borderId="17" xfId="2" applyBorder="1"/>
    <xf numFmtId="0" fontId="2" fillId="9" borderId="17" xfId="2" applyFill="1" applyBorder="1" applyAlignment="1">
      <alignment horizontal="left"/>
    </xf>
    <xf numFmtId="0" fontId="21" fillId="0" borderId="1" xfId="2" applyFont="1"/>
    <xf numFmtId="0" fontId="2" fillId="9" borderId="17" xfId="2" applyFill="1" applyBorder="1"/>
    <xf numFmtId="0" fontId="21" fillId="9" borderId="17" xfId="2" applyFont="1" applyFill="1" applyBorder="1"/>
    <xf numFmtId="0" fontId="21" fillId="0" borderId="1" xfId="2" applyFont="1" applyFill="1" applyAlignment="1">
      <alignment wrapText="1"/>
    </xf>
    <xf numFmtId="164" fontId="14" fillId="11" borderId="8" xfId="0" applyNumberFormat="1" applyFont="1" applyFill="1" applyBorder="1"/>
    <xf numFmtId="49" fontId="1" fillId="0" borderId="17" xfId="2" applyNumberFormat="1" applyFont="1" applyBorder="1" applyAlignment="1">
      <alignment horizontal="right"/>
    </xf>
    <xf numFmtId="0" fontId="2" fillId="0" borderId="17" xfId="2" applyBorder="1" applyAlignment="1">
      <alignment horizontal="right"/>
    </xf>
    <xf numFmtId="164" fontId="14" fillId="0" borderId="1" xfId="0" applyNumberFormat="1" applyFont="1" applyFill="1" applyBorder="1"/>
    <xf numFmtId="164" fontId="14" fillId="0" borderId="20" xfId="0" applyNumberFormat="1" applyFont="1" applyBorder="1"/>
    <xf numFmtId="0" fontId="16" fillId="0" borderId="1" xfId="0" applyFont="1" applyBorder="1"/>
    <xf numFmtId="0" fontId="8" fillId="0" borderId="1" xfId="0" applyFont="1" applyBorder="1"/>
    <xf numFmtId="164" fontId="4" fillId="0" borderId="1" xfId="0" applyNumberFormat="1" applyFont="1" applyBorder="1"/>
    <xf numFmtId="0" fontId="4" fillId="0" borderId="1" xfId="0" applyFont="1" applyBorder="1"/>
    <xf numFmtId="0" fontId="16" fillId="0" borderId="10" xfId="0" applyFont="1" applyBorder="1"/>
    <xf numFmtId="0" fontId="15" fillId="2" borderId="8" xfId="0" applyFont="1" applyFill="1" applyBorder="1" applyAlignment="1">
      <alignment horizontal="right"/>
    </xf>
    <xf numFmtId="0" fontId="15" fillId="2" borderId="8" xfId="0" quotePrefix="1" applyFont="1" applyFill="1" applyBorder="1" applyAlignment="1">
      <alignment horizontal="right"/>
    </xf>
    <xf numFmtId="0" fontId="15" fillId="2" borderId="11" xfId="0" applyFont="1" applyFill="1" applyBorder="1" applyAlignment="1">
      <alignment horizontal="right"/>
    </xf>
    <xf numFmtId="0" fontId="40" fillId="0" borderId="0" xfId="0" applyFont="1" applyAlignment="1">
      <alignment vertical="center"/>
    </xf>
    <xf numFmtId="0" fontId="5" fillId="2" borderId="1" xfId="0" applyFont="1" applyFill="1" applyBorder="1" applyAlignment="1">
      <alignment vertical="center"/>
    </xf>
    <xf numFmtId="0" fontId="4" fillId="10" borderId="0" xfId="0" applyFont="1" applyFill="1" applyAlignment="1">
      <alignment vertical="center"/>
    </xf>
    <xf numFmtId="0" fontId="5" fillId="11" borderId="1" xfId="0" applyFont="1" applyFill="1" applyBorder="1"/>
    <xf numFmtId="0" fontId="41" fillId="0" borderId="1" xfId="0" applyFont="1" applyBorder="1" applyAlignment="1">
      <alignment horizontal="center" wrapText="1"/>
    </xf>
    <xf numFmtId="164" fontId="42" fillId="0" borderId="1" xfId="0" applyNumberFormat="1" applyFont="1" applyBorder="1" applyAlignment="1">
      <alignment horizontal="right"/>
    </xf>
    <xf numFmtId="10" fontId="42" fillId="0" borderId="1" xfId="0" applyNumberFormat="1" applyFont="1" applyBorder="1" applyAlignment="1">
      <alignment horizontal="right"/>
    </xf>
    <xf numFmtId="0" fontId="42" fillId="0" borderId="1" xfId="0" applyFont="1" applyBorder="1" applyAlignment="1">
      <alignment horizontal="right"/>
    </xf>
    <xf numFmtId="0" fontId="17" fillId="0" borderId="1" xfId="0" applyFont="1" applyBorder="1" applyAlignment="1">
      <alignment horizontal="right"/>
    </xf>
    <xf numFmtId="164" fontId="15" fillId="0" borderId="1" xfId="0" applyNumberFormat="1" applyFont="1" applyFill="1" applyBorder="1"/>
    <xf numFmtId="9" fontId="14" fillId="0" borderId="1" xfId="0" applyNumberFormat="1" applyFont="1" applyBorder="1"/>
    <xf numFmtId="10" fontId="15" fillId="0" borderId="1" xfId="0" applyNumberFormat="1" applyFont="1" applyBorder="1"/>
    <xf numFmtId="0" fontId="14" fillId="0" borderId="1" xfId="0" applyFont="1" applyBorder="1"/>
    <xf numFmtId="0" fontId="14" fillId="0" borderId="1" xfId="0" applyFont="1" applyBorder="1" applyAlignment="1">
      <alignment horizontal="right"/>
    </xf>
    <xf numFmtId="10" fontId="14" fillId="0" borderId="1" xfId="0" applyNumberFormat="1" applyFont="1" applyBorder="1"/>
    <xf numFmtId="3" fontId="14" fillId="0" borderId="1" xfId="0" applyNumberFormat="1" applyFont="1" applyBorder="1" applyAlignment="1">
      <alignment horizontal="right"/>
    </xf>
    <xf numFmtId="0" fontId="17" fillId="0" borderId="1" xfId="0" applyFont="1" applyBorder="1"/>
    <xf numFmtId="164" fontId="8" fillId="0" borderId="1" xfId="0" applyNumberFormat="1" applyFont="1" applyBorder="1"/>
    <xf numFmtId="0" fontId="14" fillId="0" borderId="1" xfId="0" applyFont="1" applyBorder="1" applyAlignment="1">
      <alignment horizontal="center"/>
    </xf>
    <xf numFmtId="0" fontId="14" fillId="0" borderId="1" xfId="0" applyFont="1" applyBorder="1" applyAlignment="1">
      <alignment horizontal="center" wrapText="1"/>
    </xf>
    <xf numFmtId="164" fontId="15" fillId="2" borderId="1" xfId="0" applyNumberFormat="1" applyFont="1" applyFill="1" applyBorder="1"/>
    <xf numFmtId="0" fontId="14" fillId="0" borderId="27" xfId="0" applyFont="1" applyBorder="1"/>
    <xf numFmtId="0" fontId="14" fillId="0" borderId="31" xfId="0" applyFont="1" applyBorder="1"/>
    <xf numFmtId="164" fontId="14" fillId="0" borderId="18" xfId="0" applyNumberFormat="1" applyFont="1" applyBorder="1"/>
    <xf numFmtId="164" fontId="14" fillId="0" borderId="19" xfId="0" applyNumberFormat="1" applyFont="1" applyBorder="1"/>
    <xf numFmtId="9" fontId="14" fillId="0" borderId="19" xfId="0" applyNumberFormat="1" applyFont="1" applyBorder="1"/>
    <xf numFmtId="9" fontId="14" fillId="0" borderId="20" xfId="0" applyNumberFormat="1" applyFont="1" applyBorder="1"/>
    <xf numFmtId="164" fontId="15" fillId="11" borderId="1" xfId="0" applyNumberFormat="1" applyFont="1" applyFill="1" applyBorder="1"/>
    <xf numFmtId="164" fontId="14" fillId="0" borderId="24" xfId="0" applyNumberFormat="1" applyFont="1" applyBorder="1"/>
    <xf numFmtId="164" fontId="4" fillId="0" borderId="27" xfId="0" applyNumberFormat="1" applyFont="1" applyFill="1" applyBorder="1"/>
    <xf numFmtId="164" fontId="14" fillId="0" borderId="27" xfId="0" applyNumberFormat="1" applyFont="1" applyBorder="1"/>
    <xf numFmtId="164" fontId="14" fillId="0" borderId="31" xfId="0" applyNumberFormat="1" applyFont="1" applyBorder="1"/>
    <xf numFmtId="164" fontId="14" fillId="11" borderId="1" xfId="0" applyNumberFormat="1" applyFont="1" applyFill="1" applyBorder="1"/>
    <xf numFmtId="0" fontId="14" fillId="0" borderId="19" xfId="0" applyFont="1" applyBorder="1"/>
    <xf numFmtId="0" fontId="14" fillId="0" borderId="19" xfId="0" applyFont="1" applyBorder="1" applyAlignment="1">
      <alignment horizontal="right"/>
    </xf>
    <xf numFmtId="10" fontId="14" fillId="0" borderId="19" xfId="0" applyNumberFormat="1" applyFont="1" applyBorder="1"/>
    <xf numFmtId="0" fontId="14" fillId="0" borderId="20" xfId="0" applyFont="1" applyBorder="1"/>
    <xf numFmtId="164" fontId="43" fillId="2" borderId="1" xfId="0" applyNumberFormat="1" applyFont="1" applyFill="1" applyBorder="1"/>
    <xf numFmtId="164" fontId="43" fillId="2" borderId="27" xfId="0" applyNumberFormat="1" applyFont="1" applyFill="1" applyBorder="1"/>
    <xf numFmtId="0" fontId="14" fillId="0" borderId="18" xfId="0" applyFont="1" applyBorder="1"/>
    <xf numFmtId="0" fontId="16" fillId="0" borderId="31" xfId="0" applyFont="1" applyBorder="1"/>
    <xf numFmtId="0" fontId="12" fillId="0" borderId="1" xfId="0" applyFont="1" applyBorder="1"/>
    <xf numFmtId="164" fontId="14" fillId="6" borderId="1" xfId="0" applyNumberFormat="1" applyFont="1" applyFill="1" applyBorder="1"/>
    <xf numFmtId="0" fontId="16" fillId="6" borderId="1" xfId="0" applyFont="1" applyFill="1" applyBorder="1"/>
    <xf numFmtId="0" fontId="16" fillId="0" borderId="15" xfId="0" applyFont="1" applyBorder="1" applyAlignment="1">
      <alignment horizontal="right"/>
    </xf>
    <xf numFmtId="0" fontId="16" fillId="0" borderId="21" xfId="0" applyFont="1" applyBorder="1" applyAlignment="1">
      <alignment horizontal="right"/>
    </xf>
    <xf numFmtId="0" fontId="16" fillId="0" borderId="46" xfId="0" applyFont="1" applyBorder="1"/>
    <xf numFmtId="0" fontId="16" fillId="0" borderId="47" xfId="0" applyFont="1" applyBorder="1"/>
    <xf numFmtId="0" fontId="16" fillId="0" borderId="49" xfId="0" applyFont="1" applyBorder="1"/>
    <xf numFmtId="0" fontId="11" fillId="0" borderId="27" xfId="0" applyFont="1" applyBorder="1"/>
    <xf numFmtId="0" fontId="16" fillId="0" borderId="27" xfId="0" applyFont="1" applyBorder="1"/>
    <xf numFmtId="0" fontId="16" fillId="0" borderId="12" xfId="0" applyFont="1" applyBorder="1"/>
    <xf numFmtId="0" fontId="12" fillId="12" borderId="44" xfId="0" applyFont="1" applyFill="1" applyBorder="1"/>
    <xf numFmtId="164" fontId="4" fillId="12" borderId="25" xfId="0" applyNumberFormat="1" applyFont="1" applyFill="1" applyBorder="1"/>
    <xf numFmtId="0" fontId="41" fillId="12" borderId="18" xfId="0" applyFont="1" applyFill="1" applyBorder="1" applyAlignment="1">
      <alignment horizontal="center" wrapText="1"/>
    </xf>
    <xf numFmtId="0" fontId="12" fillId="12" borderId="6" xfId="0" applyFont="1" applyFill="1" applyBorder="1"/>
    <xf numFmtId="164" fontId="4" fillId="12" borderId="7" xfId="0" applyNumberFormat="1" applyFont="1" applyFill="1" applyBorder="1"/>
    <xf numFmtId="0" fontId="41" fillId="12" borderId="17" xfId="0" applyFont="1" applyFill="1" applyBorder="1" applyAlignment="1">
      <alignment horizontal="center" wrapText="1"/>
    </xf>
    <xf numFmtId="0" fontId="12" fillId="12" borderId="24" xfId="0" applyFont="1" applyFill="1" applyBorder="1"/>
    <xf numFmtId="164" fontId="14" fillId="12" borderId="23" xfId="0" applyNumberFormat="1" applyFont="1" applyFill="1" applyBorder="1"/>
    <xf numFmtId="164" fontId="14" fillId="12" borderId="3" xfId="0" applyNumberFormat="1" applyFont="1" applyFill="1" applyBorder="1"/>
    <xf numFmtId="0" fontId="12" fillId="12" borderId="21" xfId="0" applyFont="1" applyFill="1" applyBorder="1"/>
    <xf numFmtId="0" fontId="4" fillId="12" borderId="26" xfId="0" applyFont="1" applyFill="1" applyBorder="1"/>
    <xf numFmtId="164" fontId="12" fillId="0" borderId="17" xfId="0" applyNumberFormat="1" applyFont="1" applyBorder="1"/>
    <xf numFmtId="164" fontId="43" fillId="10" borderId="31" xfId="0" applyNumberFormat="1" applyFont="1" applyFill="1" applyBorder="1"/>
    <xf numFmtId="164" fontId="42" fillId="0" borderId="19" xfId="0" applyNumberFormat="1" applyFont="1" applyBorder="1"/>
    <xf numFmtId="164" fontId="42" fillId="0" borderId="20" xfId="0" applyNumberFormat="1" applyFont="1" applyBorder="1"/>
    <xf numFmtId="0" fontId="41" fillId="12" borderId="48" xfId="0" applyFont="1" applyFill="1" applyBorder="1" applyAlignment="1">
      <alignment horizontal="center" wrapText="1"/>
    </xf>
    <xf numFmtId="0" fontId="17" fillId="0" borderId="19" xfId="0" applyFont="1" applyBorder="1" applyAlignment="1">
      <alignment horizontal="right"/>
    </xf>
    <xf numFmtId="0" fontId="16" fillId="0" borderId="51" xfId="0" applyFont="1" applyBorder="1" applyAlignment="1">
      <alignment horizontal="right"/>
    </xf>
    <xf numFmtId="164" fontId="17" fillId="0" borderId="18" xfId="0" applyNumberFormat="1" applyFont="1" applyBorder="1"/>
    <xf numFmtId="0" fontId="17" fillId="0" borderId="20" xfId="0" applyFont="1" applyBorder="1" applyAlignment="1">
      <alignment horizontal="right"/>
    </xf>
    <xf numFmtId="10" fontId="16" fillId="0" borderId="18" xfId="0" applyNumberFormat="1" applyFont="1" applyBorder="1"/>
    <xf numFmtId="10" fontId="16" fillId="0" borderId="19" xfId="0" applyNumberFormat="1" applyFont="1" applyBorder="1"/>
    <xf numFmtId="10" fontId="16" fillId="0" borderId="20" xfId="0" applyNumberFormat="1" applyFont="1" applyBorder="1"/>
    <xf numFmtId="0" fontId="16" fillId="0" borderId="19" xfId="0" applyFont="1" applyBorder="1" applyAlignment="1">
      <alignment horizontal="right"/>
    </xf>
    <xf numFmtId="3" fontId="16" fillId="0" borderId="19" xfId="0" applyNumberFormat="1" applyFont="1" applyBorder="1" applyAlignment="1">
      <alignment horizontal="right"/>
    </xf>
    <xf numFmtId="9" fontId="16" fillId="0" borderId="20" xfId="0" applyNumberFormat="1" applyFont="1" applyBorder="1"/>
    <xf numFmtId="164" fontId="17" fillId="0" borderId="18" xfId="0" applyNumberFormat="1" applyFont="1" applyBorder="1" applyAlignment="1">
      <alignment horizontal="right"/>
    </xf>
    <xf numFmtId="10" fontId="17" fillId="0" borderId="19" xfId="0" applyNumberFormat="1" applyFont="1" applyBorder="1" applyAlignment="1">
      <alignment horizontal="right"/>
    </xf>
    <xf numFmtId="164" fontId="16" fillId="0" borderId="18" xfId="0" applyNumberFormat="1" applyFont="1" applyFill="1" applyBorder="1"/>
    <xf numFmtId="164" fontId="45" fillId="10" borderId="19" xfId="0" applyNumberFormat="1" applyFont="1" applyFill="1" applyBorder="1"/>
    <xf numFmtId="164" fontId="45" fillId="0" borderId="19" xfId="0" applyNumberFormat="1" applyFont="1" applyBorder="1"/>
    <xf numFmtId="9" fontId="16" fillId="0" borderId="19" xfId="0" applyNumberFormat="1" applyFont="1" applyBorder="1"/>
    <xf numFmtId="0" fontId="20" fillId="0" borderId="0" xfId="0" applyFont="1"/>
    <xf numFmtId="10" fontId="17" fillId="0" borderId="20" xfId="0" applyNumberFormat="1" applyFont="1" applyBorder="1"/>
    <xf numFmtId="0" fontId="10" fillId="12" borderId="5" xfId="0" applyFont="1" applyFill="1" applyBorder="1" applyAlignment="1"/>
    <xf numFmtId="164" fontId="19" fillId="0" borderId="1" xfId="0" applyNumberFormat="1" applyFont="1" applyBorder="1" applyAlignment="1">
      <alignment horizontal="center" wrapText="1"/>
    </xf>
    <xf numFmtId="0" fontId="21" fillId="12" borderId="21" xfId="0" applyFont="1" applyFill="1" applyBorder="1" applyAlignment="1">
      <alignment vertical="center"/>
    </xf>
    <xf numFmtId="0" fontId="21" fillId="12" borderId="22" xfId="0" applyFont="1" applyFill="1" applyBorder="1" applyAlignment="1">
      <alignment vertical="center"/>
    </xf>
    <xf numFmtId="0" fontId="41" fillId="12" borderId="23" xfId="0" applyFont="1" applyFill="1" applyBorder="1" applyAlignment="1">
      <alignment horizontal="center" wrapText="1"/>
    </xf>
    <xf numFmtId="0" fontId="12" fillId="12" borderId="23" xfId="0" applyFont="1" applyFill="1" applyBorder="1" applyAlignment="1">
      <alignment horizontal="center" wrapText="1"/>
    </xf>
    <xf numFmtId="0" fontId="15" fillId="2" borderId="19" xfId="0" applyFont="1" applyFill="1" applyBorder="1"/>
    <xf numFmtId="43" fontId="14" fillId="0" borderId="20" xfId="1" applyNumberFormat="1" applyFont="1" applyBorder="1"/>
    <xf numFmtId="0" fontId="44" fillId="11" borderId="1" xfId="0" applyFont="1" applyFill="1" applyBorder="1"/>
    <xf numFmtId="9" fontId="14" fillId="0" borderId="18" xfId="0" applyNumberFormat="1" applyFont="1" applyBorder="1"/>
    <xf numFmtId="164" fontId="31" fillId="0" borderId="19" xfId="0" applyNumberFormat="1" applyFont="1" applyFill="1" applyBorder="1"/>
    <xf numFmtId="164" fontId="14" fillId="11" borderId="19" xfId="0" applyNumberFormat="1" applyFont="1" applyFill="1" applyBorder="1"/>
    <xf numFmtId="38" fontId="14" fillId="0" borderId="19" xfId="0" applyNumberFormat="1" applyFont="1" applyBorder="1"/>
    <xf numFmtId="0" fontId="12" fillId="12" borderId="21" xfId="0" applyFont="1" applyFill="1" applyBorder="1" applyAlignment="1"/>
    <xf numFmtId="0" fontId="10" fillId="12" borderId="22" xfId="0" applyFont="1" applyFill="1" applyBorder="1" applyAlignment="1"/>
    <xf numFmtId="0" fontId="10" fillId="12" borderId="23" xfId="0" applyFont="1" applyFill="1" applyBorder="1" applyAlignment="1"/>
    <xf numFmtId="2" fontId="14" fillId="0" borderId="19" xfId="0" applyNumberFormat="1" applyFont="1" applyBorder="1"/>
    <xf numFmtId="38" fontId="12" fillId="0" borderId="20" xfId="0" applyNumberFormat="1" applyFont="1" applyBorder="1"/>
    <xf numFmtId="0" fontId="47" fillId="0" borderId="19" xfId="0" applyFont="1" applyBorder="1" applyAlignment="1">
      <alignment horizontal="right"/>
    </xf>
    <xf numFmtId="9" fontId="14" fillId="11" borderId="20" xfId="0" applyNumberFormat="1" applyFont="1" applyFill="1" applyBorder="1"/>
    <xf numFmtId="164" fontId="17" fillId="0" borderId="19" xfId="0" applyNumberFormat="1" applyFont="1" applyBorder="1"/>
    <xf numFmtId="164" fontId="17" fillId="0" borderId="20" xfId="0" applyNumberFormat="1" applyFont="1" applyBorder="1"/>
    <xf numFmtId="10" fontId="48" fillId="2" borderId="19" xfId="7" applyNumberFormat="1" applyFont="1" applyFill="1" applyBorder="1" applyAlignment="1">
      <alignment horizontal="right"/>
    </xf>
    <xf numFmtId="0" fontId="4" fillId="12" borderId="3" xfId="0" applyFont="1" applyFill="1" applyBorder="1"/>
    <xf numFmtId="164" fontId="14" fillId="2" borderId="10" xfId="0" applyNumberFormat="1" applyFont="1" applyFill="1" applyBorder="1"/>
    <xf numFmtId="0" fontId="14" fillId="12" borderId="23" xfId="0" applyFont="1" applyFill="1" applyBorder="1"/>
    <xf numFmtId="0" fontId="43" fillId="2" borderId="9" xfId="0" applyFont="1" applyFill="1" applyBorder="1"/>
    <xf numFmtId="0" fontId="43" fillId="2" borderId="10" xfId="0" applyFont="1" applyFill="1" applyBorder="1"/>
    <xf numFmtId="0" fontId="42" fillId="0" borderId="9" xfId="0" applyFont="1" applyBorder="1"/>
    <xf numFmtId="164" fontId="42" fillId="0" borderId="2" xfId="0" applyNumberFormat="1" applyFont="1" applyBorder="1"/>
    <xf numFmtId="164" fontId="42" fillId="0" borderId="0" xfId="0" applyNumberFormat="1" applyFont="1"/>
    <xf numFmtId="164" fontId="41" fillId="0" borderId="2" xfId="0" applyNumberFormat="1" applyFont="1" applyBorder="1"/>
    <xf numFmtId="0" fontId="14" fillId="11" borderId="12" xfId="0" applyFont="1" applyFill="1" applyBorder="1"/>
    <xf numFmtId="0" fontId="14" fillId="11" borderId="9" xfId="0" applyFont="1" applyFill="1" applyBorder="1"/>
    <xf numFmtId="0" fontId="4" fillId="0" borderId="0" xfId="0" applyFont="1" applyAlignment="1">
      <alignment vertical="center"/>
    </xf>
    <xf numFmtId="0" fontId="0" fillId="0" borderId="0" xfId="0" applyAlignment="1">
      <alignment vertical="center"/>
    </xf>
    <xf numFmtId="0" fontId="14" fillId="12" borderId="2" xfId="0" applyFont="1" applyFill="1" applyBorder="1" applyAlignment="1">
      <alignment horizontal="center" vertical="center"/>
    </xf>
    <xf numFmtId="0" fontId="14" fillId="12" borderId="12" xfId="0" applyFont="1" applyFill="1" applyBorder="1" applyAlignment="1">
      <alignment horizontal="center" vertical="center"/>
    </xf>
    <xf numFmtId="164" fontId="14" fillId="12" borderId="12" xfId="0" applyNumberFormat="1" applyFont="1" applyFill="1" applyBorder="1" applyAlignment="1">
      <alignment horizontal="center" vertical="center" wrapText="1"/>
    </xf>
    <xf numFmtId="0" fontId="4" fillId="12" borderId="12" xfId="0" applyFont="1" applyFill="1" applyBorder="1" applyAlignment="1">
      <alignment horizontal="center" vertical="center" wrapText="1"/>
    </xf>
    <xf numFmtId="164" fontId="14" fillId="12" borderId="5" xfId="0" applyNumberFormat="1" applyFont="1" applyFill="1" applyBorder="1" applyAlignment="1">
      <alignment horizontal="center" vertical="center" wrapText="1"/>
    </xf>
    <xf numFmtId="41" fontId="15" fillId="0" borderId="18" xfId="0" applyNumberFormat="1" applyFont="1" applyBorder="1"/>
    <xf numFmtId="41" fontId="15" fillId="0" borderId="19" xfId="0" applyNumberFormat="1" applyFont="1" applyBorder="1"/>
    <xf numFmtId="41" fontId="9" fillId="0" borderId="20" xfId="0" applyNumberFormat="1" applyFont="1" applyBorder="1"/>
    <xf numFmtId="164" fontId="14" fillId="12" borderId="5" xfId="0" applyNumberFormat="1" applyFont="1" applyFill="1" applyBorder="1" applyAlignment="1">
      <alignment horizontal="center" vertical="center"/>
    </xf>
    <xf numFmtId="0" fontId="14" fillId="12" borderId="2" xfId="0" applyFont="1" applyFill="1" applyBorder="1" applyAlignment="1">
      <alignment horizontal="center" vertical="center" wrapText="1"/>
    </xf>
    <xf numFmtId="164" fontId="14" fillId="12" borderId="2" xfId="0" applyNumberFormat="1" applyFont="1" applyFill="1" applyBorder="1" applyAlignment="1">
      <alignment horizontal="center" vertical="center"/>
    </xf>
    <xf numFmtId="164" fontId="14" fillId="12" borderId="2" xfId="0" applyNumberFormat="1" applyFont="1" applyFill="1" applyBorder="1" applyAlignment="1">
      <alignment horizontal="center" vertical="center" wrapText="1"/>
    </xf>
    <xf numFmtId="164" fontId="49" fillId="2" borderId="10" xfId="0" applyNumberFormat="1" applyFont="1" applyFill="1" applyBorder="1"/>
    <xf numFmtId="10" fontId="14" fillId="10" borderId="18" xfId="0" applyNumberFormat="1" applyFont="1" applyFill="1" applyBorder="1"/>
    <xf numFmtId="0" fontId="46" fillId="0" borderId="1" xfId="0" applyFont="1" applyBorder="1"/>
    <xf numFmtId="0" fontId="42" fillId="0" borderId="1" xfId="0" applyFont="1" applyBorder="1"/>
    <xf numFmtId="6" fontId="4" fillId="0" borderId="9" xfId="0" applyNumberFormat="1" applyFont="1" applyBorder="1"/>
    <xf numFmtId="6" fontId="4" fillId="0" borderId="10" xfId="0" applyNumberFormat="1" applyFont="1" applyBorder="1"/>
    <xf numFmtId="0" fontId="20" fillId="0" borderId="1" xfId="8"/>
    <xf numFmtId="0" fontId="24" fillId="6" borderId="1" xfId="10" applyFont="1" applyFill="1" applyAlignment="1">
      <alignment horizontal="left" vertical="center" wrapText="1" shrinkToFit="1"/>
    </xf>
    <xf numFmtId="0" fontId="25" fillId="7" borderId="17" xfId="10" applyFont="1" applyFill="1" applyBorder="1" applyAlignment="1">
      <alignment vertical="center"/>
    </xf>
    <xf numFmtId="0" fontId="26" fillId="8" borderId="21" xfId="10" applyFont="1" applyFill="1" applyBorder="1" applyAlignment="1">
      <alignment vertical="center" wrapText="1" shrinkToFit="1"/>
    </xf>
    <xf numFmtId="0" fontId="26" fillId="8" borderId="22" xfId="10" applyFont="1" applyFill="1" applyBorder="1" applyAlignment="1">
      <alignment horizontal="center" vertical="center" wrapText="1" shrinkToFit="1"/>
    </xf>
    <xf numFmtId="0" fontId="26" fillId="8" borderId="23" xfId="10" applyFont="1" applyFill="1" applyBorder="1" applyAlignment="1">
      <alignment horizontal="center" vertical="center" wrapText="1" shrinkToFit="1"/>
    </xf>
    <xf numFmtId="0" fontId="26" fillId="6" borderId="1" xfId="10" applyFont="1" applyFill="1" applyAlignment="1">
      <alignment horizontal="center" vertical="center" wrapText="1" shrinkToFit="1"/>
    </xf>
    <xf numFmtId="0" fontId="27" fillId="0" borderId="1" xfId="10" applyFont="1" applyAlignment="1">
      <alignment vertical="center"/>
    </xf>
    <xf numFmtId="0" fontId="26" fillId="6" borderId="1" xfId="10" applyFont="1" applyFill="1" applyAlignment="1">
      <alignment horizontal="left" vertical="center" wrapText="1" shrinkToFit="1"/>
    </xf>
    <xf numFmtId="0" fontId="27" fillId="0" borderId="18" xfId="10" applyFont="1" applyBorder="1" applyAlignment="1">
      <alignment vertical="center"/>
    </xf>
    <xf numFmtId="0" fontId="28" fillId="9" borderId="27" xfId="10" applyFont="1" applyFill="1" applyBorder="1" applyAlignment="1">
      <alignment vertical="center" shrinkToFit="1"/>
    </xf>
    <xf numFmtId="0" fontId="28" fillId="9" borderId="29" xfId="10" applyFont="1" applyFill="1" applyBorder="1" applyAlignment="1">
      <alignment vertical="center" shrinkToFit="1"/>
    </xf>
    <xf numFmtId="0" fontId="28" fillId="6" borderId="1" xfId="10" applyFont="1" applyFill="1" applyAlignment="1">
      <alignment vertical="center" shrinkToFit="1"/>
    </xf>
    <xf numFmtId="0" fontId="27" fillId="0" borderId="19" xfId="10" applyFont="1" applyBorder="1" applyAlignment="1">
      <alignment vertical="center"/>
    </xf>
    <xf numFmtId="0" fontId="30" fillId="9" borderId="27" xfId="10" applyFont="1" applyFill="1" applyBorder="1" applyAlignment="1">
      <alignment vertical="center" wrapText="1" shrinkToFit="1"/>
    </xf>
    <xf numFmtId="0" fontId="27" fillId="0" borderId="20" xfId="10" applyFont="1" applyBorder="1" applyAlignment="1">
      <alignment vertical="center"/>
    </xf>
    <xf numFmtId="0" fontId="28" fillId="9" borderId="27" xfId="10" applyFont="1" applyFill="1" applyBorder="1" applyAlignment="1">
      <alignment vertical="center" wrapText="1" shrinkToFit="1"/>
    </xf>
    <xf numFmtId="0" fontId="30" fillId="9" borderId="31" xfId="10" applyFont="1" applyFill="1" applyBorder="1" applyAlignment="1">
      <alignment vertical="center" wrapText="1" shrinkToFit="1"/>
    </xf>
    <xf numFmtId="0" fontId="30" fillId="9" borderId="33" xfId="10" applyFont="1" applyFill="1" applyBorder="1" applyAlignment="1">
      <alignment vertical="center" wrapText="1" shrinkToFit="1"/>
    </xf>
    <xf numFmtId="0" fontId="30" fillId="6" borderId="1" xfId="10" applyFont="1" applyFill="1" applyAlignment="1">
      <alignment vertical="center" wrapText="1" shrinkToFit="1"/>
    </xf>
    <xf numFmtId="0" fontId="30" fillId="6" borderId="1" xfId="10" applyFont="1" applyFill="1" applyAlignment="1">
      <alignment horizontal="left" vertical="center" wrapText="1" shrinkToFit="1"/>
    </xf>
    <xf numFmtId="0" fontId="1" fillId="6" borderId="34" xfId="10" applyFill="1" applyBorder="1" applyAlignment="1">
      <alignment horizontal="center" vertical="center" wrapText="1" shrinkToFit="1"/>
    </xf>
    <xf numFmtId="0" fontId="26" fillId="9" borderId="29" xfId="10" applyFont="1" applyFill="1" applyBorder="1" applyAlignment="1">
      <alignment horizontal="left" vertical="center" shrinkToFit="1"/>
    </xf>
    <xf numFmtId="0" fontId="27" fillId="0" borderId="17" xfId="10" applyFont="1" applyBorder="1" applyAlignment="1">
      <alignment vertical="center"/>
    </xf>
    <xf numFmtId="0" fontId="1" fillId="9" borderId="29" xfId="10" applyFill="1" applyBorder="1" applyAlignment="1">
      <alignment horizontal="left" vertical="center" wrapText="1" shrinkToFit="1"/>
    </xf>
    <xf numFmtId="0" fontId="1" fillId="6" borderId="1" xfId="10" applyFill="1" applyAlignment="1">
      <alignment horizontal="left" vertical="center" wrapText="1" shrinkToFit="1"/>
    </xf>
    <xf numFmtId="0" fontId="27" fillId="0" borderId="20" xfId="10" applyFont="1" applyBorder="1"/>
    <xf numFmtId="0" fontId="31" fillId="9" borderId="27" xfId="10" applyFont="1" applyFill="1" applyBorder="1" applyAlignment="1">
      <alignment horizontal="left" vertical="center" wrapText="1" shrinkToFit="1"/>
    </xf>
    <xf numFmtId="0" fontId="30" fillId="9" borderId="29" xfId="10" applyFont="1" applyFill="1" applyBorder="1" applyAlignment="1">
      <alignment horizontal="left" vertical="center" wrapText="1" shrinkToFit="1"/>
    </xf>
    <xf numFmtId="0" fontId="1" fillId="0" borderId="19" xfId="10" applyBorder="1"/>
    <xf numFmtId="0" fontId="1" fillId="0" borderId="20" xfId="10" applyBorder="1"/>
    <xf numFmtId="0" fontId="30" fillId="6" borderId="1" xfId="10" applyFont="1" applyFill="1" applyAlignment="1">
      <alignment horizontal="center" vertical="center" wrapText="1" shrinkToFit="1"/>
    </xf>
    <xf numFmtId="0" fontId="30" fillId="9" borderId="27" xfId="10" applyFont="1" applyFill="1" applyBorder="1" applyAlignment="1">
      <alignment horizontal="left" vertical="center" wrapText="1" shrinkToFit="1"/>
    </xf>
    <xf numFmtId="0" fontId="1" fillId="9" borderId="27" xfId="10" applyFill="1" applyBorder="1" applyAlignment="1">
      <alignment horizontal="left" shrinkToFit="1"/>
    </xf>
    <xf numFmtId="0" fontId="1" fillId="9" borderId="29" xfId="10" applyFill="1" applyBorder="1" applyAlignment="1">
      <alignment horizontal="left" shrinkToFit="1"/>
    </xf>
    <xf numFmtId="0" fontId="1" fillId="6" borderId="1" xfId="10" applyFill="1" applyAlignment="1">
      <alignment horizontal="left" shrinkToFit="1"/>
    </xf>
    <xf numFmtId="0" fontId="26" fillId="9" borderId="37" xfId="10" applyFont="1" applyFill="1" applyBorder="1" applyAlignment="1">
      <alignment horizontal="center" vertical="center" wrapText="1" shrinkToFit="1"/>
    </xf>
    <xf numFmtId="0" fontId="26" fillId="9" borderId="38" xfId="10" applyFont="1" applyFill="1" applyBorder="1" applyAlignment="1">
      <alignment horizontal="center" vertical="center" wrapText="1" shrinkToFit="1"/>
    </xf>
    <xf numFmtId="0" fontId="1" fillId="0" borderId="18" xfId="10" applyBorder="1"/>
    <xf numFmtId="0" fontId="1" fillId="9" borderId="40" xfId="10" applyFill="1" applyBorder="1" applyAlignment="1">
      <alignment horizontal="center"/>
    </xf>
    <xf numFmtId="0" fontId="1" fillId="9" borderId="42" xfId="10" applyFill="1" applyBorder="1" applyAlignment="1">
      <alignment horizontal="center"/>
    </xf>
    <xf numFmtId="0" fontId="1" fillId="9" borderId="43" xfId="10" applyFill="1" applyBorder="1" applyAlignment="1">
      <alignment horizontal="center"/>
    </xf>
    <xf numFmtId="0" fontId="1" fillId="0" borderId="17" xfId="10" applyBorder="1"/>
    <xf numFmtId="0" fontId="37" fillId="9" borderId="27" xfId="10" applyFont="1" applyFill="1" applyBorder="1" applyAlignment="1">
      <alignment horizontal="left" vertical="center" wrapText="1" shrinkToFit="1"/>
    </xf>
    <xf numFmtId="0" fontId="1" fillId="9" borderId="1" xfId="10" applyFill="1" applyBorder="1" applyAlignment="1">
      <alignment horizontal="center" vertical="center" wrapText="1" shrinkToFit="1"/>
    </xf>
    <xf numFmtId="0" fontId="27" fillId="0" borderId="1" xfId="10" applyFont="1" applyBorder="1" applyAlignment="1">
      <alignment vertical="center"/>
    </xf>
    <xf numFmtId="0" fontId="1" fillId="9" borderId="1" xfId="10" applyFont="1" applyFill="1" applyBorder="1" applyAlignment="1">
      <alignment horizontal="center" vertical="center" wrapText="1" shrinkToFit="1"/>
    </xf>
    <xf numFmtId="0" fontId="1" fillId="9" borderId="27" xfId="10" applyFont="1" applyFill="1" applyBorder="1" applyAlignment="1">
      <alignment horizontal="left" shrinkToFit="1"/>
    </xf>
    <xf numFmtId="0" fontId="28" fillId="9" borderId="1" xfId="10" applyFont="1" applyFill="1" applyBorder="1" applyAlignment="1">
      <alignment horizontal="center" vertical="center" shrinkToFit="1"/>
    </xf>
    <xf numFmtId="0" fontId="28" fillId="9" borderId="1" xfId="10" applyFont="1" applyFill="1" applyBorder="1" applyAlignment="1">
      <alignment vertical="center" shrinkToFit="1"/>
    </xf>
    <xf numFmtId="0" fontId="28" fillId="6" borderId="34" xfId="10" applyFont="1" applyFill="1" applyBorder="1" applyAlignment="1">
      <alignment horizontal="center" vertical="center" shrinkToFit="1"/>
    </xf>
    <xf numFmtId="0" fontId="32" fillId="9" borderId="27" xfId="10" applyFont="1" applyFill="1" applyBorder="1" applyAlignment="1">
      <alignment horizontal="left" vertical="center" wrapText="1" shrinkToFit="1"/>
    </xf>
    <xf numFmtId="0" fontId="26" fillId="9" borderId="29" xfId="10" applyFont="1" applyFill="1" applyBorder="1" applyAlignment="1">
      <alignment horizontal="left" vertical="center" wrapText="1" shrinkToFit="1"/>
    </xf>
    <xf numFmtId="0" fontId="30" fillId="9" borderId="32" xfId="10" applyFont="1" applyFill="1" applyBorder="1" applyAlignment="1">
      <alignment horizontal="center" vertical="center" wrapText="1" shrinkToFit="1"/>
    </xf>
    <xf numFmtId="0" fontId="1" fillId="13" borderId="1" xfId="10" applyFill="1" applyBorder="1" applyAlignment="1">
      <alignment horizontal="center" vertical="center" wrapText="1" shrinkToFit="1"/>
    </xf>
    <xf numFmtId="0" fontId="21" fillId="9" borderId="27" xfId="10" applyFont="1" applyFill="1" applyBorder="1" applyAlignment="1">
      <alignment horizontal="left" wrapText="1" shrinkToFit="1"/>
    </xf>
    <xf numFmtId="0" fontId="1" fillId="9" borderId="1" xfId="10" applyFill="1" applyAlignment="1">
      <alignment horizontal="center" wrapText="1" shrinkToFit="1"/>
    </xf>
    <xf numFmtId="0" fontId="1" fillId="9" borderId="29" xfId="10" applyFill="1" applyBorder="1" applyAlignment="1">
      <alignment horizontal="left" wrapText="1" shrinkToFit="1"/>
    </xf>
    <xf numFmtId="0" fontId="1" fillId="6" borderId="1" xfId="10" applyFill="1" applyAlignment="1">
      <alignment horizontal="left" wrapText="1" shrinkToFit="1"/>
    </xf>
    <xf numFmtId="0" fontId="26" fillId="9" borderId="24" xfId="10" applyFont="1" applyFill="1" applyBorder="1" applyAlignment="1">
      <alignment vertical="center" wrapText="1" shrinkToFit="1"/>
    </xf>
    <xf numFmtId="0" fontId="26" fillId="9" borderId="25" xfId="10" applyFont="1" applyFill="1" applyBorder="1" applyAlignment="1">
      <alignment horizontal="center" vertical="center" wrapText="1" shrinkToFit="1"/>
    </xf>
    <xf numFmtId="0" fontId="26" fillId="9" borderId="26" xfId="10" applyFont="1" applyFill="1" applyBorder="1" applyAlignment="1">
      <alignment horizontal="center" vertical="center" wrapText="1" shrinkToFit="1"/>
    </xf>
    <xf numFmtId="0" fontId="1" fillId="6" borderId="1" xfId="10" applyFill="1" applyBorder="1" applyAlignment="1">
      <alignment vertical="center"/>
    </xf>
    <xf numFmtId="0" fontId="27" fillId="0" borderId="1" xfId="10" applyFont="1" applyBorder="1"/>
    <xf numFmtId="0" fontId="27" fillId="0" borderId="1" xfId="10" applyFont="1" applyBorder="1" applyAlignment="1"/>
    <xf numFmtId="0" fontId="1" fillId="0" borderId="1" xfId="10" applyBorder="1"/>
    <xf numFmtId="0" fontId="1" fillId="0" borderId="34" xfId="10" applyBorder="1" applyAlignment="1">
      <alignment horizontal="center" vertical="center"/>
    </xf>
    <xf numFmtId="0" fontId="27" fillId="0" borderId="17" xfId="10" applyFont="1" applyBorder="1"/>
    <xf numFmtId="0" fontId="26" fillId="9" borderId="36" xfId="10" applyFont="1" applyFill="1" applyBorder="1" applyAlignment="1">
      <alignment vertical="center" wrapText="1" shrinkToFit="1"/>
    </xf>
    <xf numFmtId="0" fontId="26" fillId="9" borderId="41" xfId="10" applyFont="1" applyFill="1" applyBorder="1" applyAlignment="1">
      <alignment vertical="center" wrapText="1" shrinkToFit="1"/>
    </xf>
    <xf numFmtId="0" fontId="26" fillId="9" borderId="39" xfId="10" applyFont="1" applyFill="1" applyBorder="1" applyAlignment="1">
      <alignment horizontal="center" vertical="center" wrapText="1" shrinkToFit="1"/>
    </xf>
    <xf numFmtId="0" fontId="30" fillId="0" borderId="1" xfId="10" applyFont="1" applyAlignment="1">
      <alignment horizontal="left" vertical="center" wrapText="1" shrinkToFit="1"/>
    </xf>
    <xf numFmtId="0" fontId="28" fillId="6" borderId="28" xfId="10" applyFont="1" applyFill="1" applyBorder="1" applyAlignment="1">
      <alignment horizontal="center" vertical="center" shrinkToFit="1"/>
    </xf>
    <xf numFmtId="0" fontId="28" fillId="6" borderId="35" xfId="10" applyFont="1" applyFill="1" applyBorder="1" applyAlignment="1">
      <alignment horizontal="center" vertical="center" shrinkToFit="1"/>
    </xf>
    <xf numFmtId="0" fontId="28" fillId="6" borderId="30" xfId="10" applyFont="1" applyFill="1" applyBorder="1" applyAlignment="1">
      <alignment horizontal="center" vertical="center" shrinkToFit="1"/>
    </xf>
    <xf numFmtId="0" fontId="1" fillId="9" borderId="31" xfId="10" applyFill="1" applyBorder="1" applyAlignment="1">
      <alignment horizontal="left" shrinkToFit="1"/>
    </xf>
    <xf numFmtId="0" fontId="1" fillId="9" borderId="32" xfId="10" applyFill="1" applyBorder="1" applyAlignment="1">
      <alignment horizontal="left" shrinkToFit="1"/>
    </xf>
    <xf numFmtId="0" fontId="1" fillId="9" borderId="33" xfId="10" applyFill="1" applyBorder="1" applyAlignment="1">
      <alignment horizontal="left" shrinkToFit="1"/>
    </xf>
    <xf numFmtId="0" fontId="26" fillId="9" borderId="27" xfId="10" applyFont="1" applyFill="1" applyBorder="1" applyAlignment="1">
      <alignment horizontal="left" vertical="center" wrapText="1" shrinkToFit="1"/>
    </xf>
    <xf numFmtId="0" fontId="26" fillId="9" borderId="1" xfId="10" applyFont="1" applyFill="1" applyBorder="1" applyAlignment="1">
      <alignment horizontal="left" vertical="center" wrapText="1" shrinkToFit="1"/>
    </xf>
    <xf numFmtId="0" fontId="26" fillId="9" borderId="29" xfId="10" applyFont="1" applyFill="1" applyBorder="1" applyAlignment="1">
      <alignment horizontal="left" vertical="center" wrapText="1" shrinkToFit="1"/>
    </xf>
    <xf numFmtId="0" fontId="30" fillId="6" borderId="28" xfId="10" applyFont="1" applyFill="1" applyBorder="1" applyAlignment="1">
      <alignment horizontal="center" vertical="center" wrapText="1" shrinkToFit="1"/>
    </xf>
    <xf numFmtId="0" fontId="30" fillId="6" borderId="35" xfId="10" applyFont="1" applyFill="1" applyBorder="1" applyAlignment="1">
      <alignment horizontal="center" vertical="center" wrapText="1" shrinkToFit="1"/>
    </xf>
    <xf numFmtId="0" fontId="30" fillId="6" borderId="30" xfId="10" applyFont="1" applyFill="1" applyBorder="1" applyAlignment="1">
      <alignment horizontal="center" vertical="center" wrapText="1" shrinkToFit="1"/>
    </xf>
    <xf numFmtId="0" fontId="30" fillId="9" borderId="31" xfId="10" applyFont="1" applyFill="1" applyBorder="1" applyAlignment="1">
      <alignment horizontal="center" vertical="center" wrapText="1" shrinkToFit="1"/>
    </xf>
    <xf numFmtId="0" fontId="30" fillId="9" borderId="32" xfId="10" applyFont="1" applyFill="1" applyBorder="1" applyAlignment="1">
      <alignment horizontal="center" vertical="center" wrapText="1" shrinkToFit="1"/>
    </xf>
    <xf numFmtId="0" fontId="30" fillId="9" borderId="33" xfId="10" applyFont="1" applyFill="1" applyBorder="1" applyAlignment="1">
      <alignment horizontal="center" vertical="center" wrapText="1" shrinkToFit="1"/>
    </xf>
    <xf numFmtId="0" fontId="1" fillId="6" borderId="28" xfId="10" applyFill="1" applyBorder="1" applyAlignment="1">
      <alignment horizontal="center" vertical="center" shrinkToFit="1"/>
    </xf>
    <xf numFmtId="0" fontId="1" fillId="6" borderId="35" xfId="10" applyFill="1" applyBorder="1" applyAlignment="1">
      <alignment horizontal="center" vertical="center" shrinkToFit="1"/>
    </xf>
    <xf numFmtId="0" fontId="1" fillId="6" borderId="30" xfId="10" applyFill="1" applyBorder="1" applyAlignment="1">
      <alignment horizontal="center" vertical="center" shrinkToFit="1"/>
    </xf>
    <xf numFmtId="0" fontId="22" fillId="0" borderId="1" xfId="2" applyFont="1" applyAlignment="1">
      <alignment horizontal="left" vertical="center" wrapText="1" shrinkToFit="1"/>
    </xf>
    <xf numFmtId="0" fontId="24" fillId="7" borderId="21" xfId="10" applyFont="1" applyFill="1" applyBorder="1" applyAlignment="1">
      <alignment horizontal="left" vertical="center" wrapText="1" shrinkToFit="1"/>
    </xf>
    <xf numFmtId="0" fontId="24" fillId="7" borderId="22" xfId="10" applyFont="1" applyFill="1" applyBorder="1" applyAlignment="1">
      <alignment horizontal="left" vertical="center" wrapText="1" shrinkToFit="1"/>
    </xf>
    <xf numFmtId="0" fontId="24" fillId="7" borderId="23" xfId="10" applyFont="1" applyFill="1" applyBorder="1" applyAlignment="1">
      <alignment horizontal="left" vertical="center" wrapText="1" shrinkToFit="1"/>
    </xf>
    <xf numFmtId="0" fontId="1" fillId="9" borderId="31" xfId="10" applyFill="1" applyBorder="1" applyAlignment="1">
      <alignment horizontal="left" vertical="center" wrapText="1" shrinkToFit="1"/>
    </xf>
    <xf numFmtId="0" fontId="1" fillId="9" borderId="32" xfId="10" applyFill="1" applyBorder="1" applyAlignment="1">
      <alignment horizontal="left" vertical="center" wrapText="1" shrinkToFit="1"/>
    </xf>
    <xf numFmtId="0" fontId="1" fillId="9" borderId="33" xfId="10" applyFill="1" applyBorder="1" applyAlignment="1">
      <alignment horizontal="left" vertical="center" wrapText="1" shrinkToFit="1"/>
    </xf>
    <xf numFmtId="0" fontId="12" fillId="12" borderId="44" xfId="0" applyFont="1" applyFill="1" applyBorder="1" applyAlignment="1">
      <alignment horizontal="left" vertical="center"/>
    </xf>
    <xf numFmtId="0" fontId="12" fillId="12" borderId="45" xfId="0" applyFont="1" applyFill="1" applyBorder="1" applyAlignment="1">
      <alignment horizontal="left" vertical="center"/>
    </xf>
    <xf numFmtId="0" fontId="12" fillId="12" borderId="6" xfId="0" applyFont="1" applyFill="1" applyBorder="1" applyAlignment="1">
      <alignment horizontal="left" vertical="center"/>
    </xf>
    <xf numFmtId="0" fontId="12" fillId="12" borderId="3" xfId="0" applyFont="1" applyFill="1" applyBorder="1" applyAlignment="1">
      <alignment horizontal="left" vertical="center"/>
    </xf>
    <xf numFmtId="0" fontId="12" fillId="12" borderId="52" xfId="0" applyFont="1" applyFill="1" applyBorder="1" applyAlignment="1">
      <alignment horizontal="left"/>
    </xf>
    <xf numFmtId="0" fontId="12" fillId="12" borderId="50" xfId="0" applyFont="1" applyFill="1" applyBorder="1" applyAlignment="1">
      <alignment horizontal="left"/>
    </xf>
    <xf numFmtId="164" fontId="8" fillId="0" borderId="6" xfId="0" applyNumberFormat="1" applyFont="1" applyBorder="1" applyAlignment="1">
      <alignment horizontal="center"/>
    </xf>
    <xf numFmtId="0" fontId="10" fillId="0" borderId="7" xfId="0" applyFont="1" applyBorder="1" applyAlignment="1"/>
    <xf numFmtId="0" fontId="10" fillId="0" borderId="3" xfId="0" applyFont="1" applyBorder="1" applyAlignment="1"/>
    <xf numFmtId="0" fontId="8" fillId="0" borderId="6" xfId="0" applyFont="1" applyBorder="1" applyAlignment="1">
      <alignment horizontal="center"/>
    </xf>
    <xf numFmtId="0" fontId="2" fillId="0" borderId="1" xfId="2" applyBorder="1"/>
    <xf numFmtId="0" fontId="2" fillId="0" borderId="1" xfId="2" applyBorder="1" applyAlignment="1">
      <alignment horizontal="center"/>
    </xf>
    <xf numFmtId="0" fontId="21" fillId="0" borderId="1" xfId="2" applyFont="1" applyBorder="1" applyAlignment="1">
      <alignment horizontal="center"/>
    </xf>
    <xf numFmtId="0" fontId="21" fillId="0" borderId="1" xfId="2" applyFont="1" applyBorder="1" applyAlignment="1">
      <alignment horizontal="center"/>
    </xf>
  </cellXfs>
  <cellStyles count="13">
    <cellStyle name="20% - Accent1 2" xfId="4" xr:uid="{DE5B6639-E415-4782-9EFB-42F1D4976F56}"/>
    <cellStyle name="20% - Accent1 2 2" xfId="12" xr:uid="{DE5B6639-E415-4782-9EFB-42F1D4976F56}"/>
    <cellStyle name="20% - Accent2 2" xfId="3" xr:uid="{0BD7BA1D-296D-4EEF-8405-2D4BB5929DEF}"/>
    <cellStyle name="20% - Accent2 2 2" xfId="11" xr:uid="{0BD7BA1D-296D-4EEF-8405-2D4BB5929DEF}"/>
    <cellStyle name="Comma" xfId="1" builtinId="3"/>
    <cellStyle name="Comma 2" xfId="9" xr:uid="{00000000-0005-0000-0000-000037000000}"/>
    <cellStyle name="Hyperlink" xfId="5" builtinId="8"/>
    <cellStyle name="Normal" xfId="0" builtinId="0"/>
    <cellStyle name="Normal 2" xfId="2" xr:uid="{20050CF5-9DD5-4CA2-A46A-104A9A72CC81}"/>
    <cellStyle name="Normal 2 2" xfId="6" xr:uid="{F2ACFFE7-BFCE-4F1F-BBFC-3D41D1B1FE1F}"/>
    <cellStyle name="Normal 2 3" xfId="10" xr:uid="{20050CF5-9DD5-4CA2-A46A-104A9A72CC81}"/>
    <cellStyle name="Normal 3" xfId="8" xr:uid="{00000000-0005-0000-0000-000038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121921</xdr:colOff>
      <xdr:row>2</xdr:row>
      <xdr:rowOff>93346</xdr:rowOff>
    </xdr:from>
    <xdr:ext cx="9405388" cy="3427094"/>
    <xdr:pic>
      <xdr:nvPicPr>
        <xdr:cNvPr id="2" name="Picture 1">
          <a:extLst>
            <a:ext uri="{FF2B5EF4-FFF2-40B4-BE49-F238E27FC236}">
              <a16:creationId xmlns:a16="http://schemas.microsoft.com/office/drawing/2014/main" id="{F0E1321B-3874-46C7-A3E6-A991AE688B89}"/>
            </a:ext>
          </a:extLst>
        </xdr:cNvPr>
        <xdr:cNvPicPr>
          <a:picLocks noChangeAspect="1"/>
        </xdr:cNvPicPr>
      </xdr:nvPicPr>
      <xdr:blipFill>
        <a:blip xmlns:r="http://schemas.openxmlformats.org/officeDocument/2006/relationships" r:embed="rId1"/>
        <a:stretch>
          <a:fillRect/>
        </a:stretch>
      </xdr:blipFill>
      <xdr:spPr>
        <a:xfrm>
          <a:off x="2956561" y="641986"/>
          <a:ext cx="9405388" cy="3427094"/>
        </a:xfrm>
        <a:prstGeom prst="rect">
          <a:avLst/>
        </a:prstGeom>
      </xdr:spPr>
    </xdr:pic>
    <xdr:clientData/>
  </xdr:oneCellAnchor>
  <xdr:oneCellAnchor>
    <xdr:from>
      <xdr:col>2</xdr:col>
      <xdr:colOff>314325</xdr:colOff>
      <xdr:row>22</xdr:row>
      <xdr:rowOff>129540</xdr:rowOff>
    </xdr:from>
    <xdr:ext cx="5386102" cy="3010415"/>
    <xdr:pic>
      <xdr:nvPicPr>
        <xdr:cNvPr id="5" name="Picture 4">
          <a:extLst>
            <a:ext uri="{FF2B5EF4-FFF2-40B4-BE49-F238E27FC236}">
              <a16:creationId xmlns:a16="http://schemas.microsoft.com/office/drawing/2014/main" id="{48E6B3AE-7EEA-44B8-8151-3B80BD077D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0" y="4291965"/>
          <a:ext cx="5386102" cy="3010415"/>
        </a:xfrm>
        <a:prstGeom prst="rect">
          <a:avLst/>
        </a:prstGeom>
      </xdr:spPr>
    </xdr:pic>
    <xdr:clientData/>
  </xdr:oneCellAnchor>
  <xdr:twoCellAnchor editAs="oneCell">
    <xdr:from>
      <xdr:col>2</xdr:col>
      <xdr:colOff>367665</xdr:colOff>
      <xdr:row>42</xdr:row>
      <xdr:rowOff>144779</xdr:rowOff>
    </xdr:from>
    <xdr:to>
      <xdr:col>8</xdr:col>
      <xdr:colOff>249555</xdr:colOff>
      <xdr:row>59</xdr:row>
      <xdr:rowOff>48610</xdr:rowOff>
    </xdr:to>
    <xdr:pic>
      <xdr:nvPicPr>
        <xdr:cNvPr id="9" name="Picture 8">
          <a:extLst>
            <a:ext uri="{FF2B5EF4-FFF2-40B4-BE49-F238E27FC236}">
              <a16:creationId xmlns:a16="http://schemas.microsoft.com/office/drawing/2014/main" id="{ACDECADA-3E3C-4917-B1B3-08B6AD9403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96590" y="7983854"/>
          <a:ext cx="4857750" cy="2816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liver/Dropbox/PC/Downloads/SSP%20Pipeline-CURRENT-04-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P Pipeline"/>
      <sheetName val="Prop C - Pipeline OPF"/>
      <sheetName val="Prop C - Cash Flow"/>
      <sheetName val="Prop C - PMT"/>
      <sheetName val="Prop C - Balloon"/>
      <sheetName val="Prop C - Balance"/>
      <sheetName val="Prop C"/>
      <sheetName val="SSP Sources"/>
      <sheetName val="Demofield"/>
      <sheetName val="Household Data"/>
      <sheetName val="Sources 7-Year Forecast"/>
      <sheetName val="Sheet1"/>
      <sheetName val="Sheet2"/>
      <sheetName val="Sheet3"/>
      <sheetName val="Soft Costs per Unit"/>
      <sheetName val="ERAF"/>
    </sheetNames>
    <sheetDataSet>
      <sheetData sheetId="0"/>
      <sheetData sheetId="1" refreshError="1"/>
      <sheetData sheetId="2" refreshError="1"/>
      <sheetData sheetId="3" refreshError="1"/>
      <sheetData sheetId="4" refreshError="1"/>
      <sheetData sheetId="5" refreshError="1"/>
      <sheetData sheetId="6" refreshError="1"/>
      <sheetData sheetId="7">
        <row r="4">
          <cell r="H4">
            <v>10700000</v>
          </cell>
        </row>
      </sheetData>
      <sheetData sheetId="8">
        <row r="1">
          <cell r="A1" t="str">
            <v>Hispanic/Latino </v>
          </cell>
          <cell r="B1" t="str">
            <v>American Indian/Alaskan Native </v>
          </cell>
        </row>
        <row r="2">
          <cell r="A2" t="str">
            <v>Not Hispanic/Latino</v>
          </cell>
          <cell r="B2" t="str">
            <v>Asian  </v>
          </cell>
        </row>
        <row r="3">
          <cell r="A3" t="str">
            <v>Unknown</v>
          </cell>
          <cell r="B3" t="str">
            <v>Black/African American </v>
          </cell>
        </row>
        <row r="4">
          <cell r="B4" t="str">
            <v>Filipino</v>
          </cell>
        </row>
        <row r="5">
          <cell r="B5" t="str">
            <v>Native Hawaiian/Other Pacific Islander </v>
          </cell>
        </row>
        <row r="6">
          <cell r="B6" t="str">
            <v>White </v>
          </cell>
        </row>
        <row r="7">
          <cell r="B7" t="str">
            <v>American Indian/Alaskan Native and Black/African American      </v>
          </cell>
        </row>
        <row r="8">
          <cell r="B8" t="str">
            <v>American Indian/Alaskan Native and White  </v>
          </cell>
        </row>
        <row r="9">
          <cell r="B9" t="str">
            <v>Asian and White </v>
          </cell>
        </row>
        <row r="10">
          <cell r="B10" t="str">
            <v>Black/African American and White </v>
          </cell>
        </row>
        <row r="11">
          <cell r="B11" t="str">
            <v>Other/Multiracial </v>
          </cell>
        </row>
        <row r="12">
          <cell r="B12" t="str">
            <v>Unknown</v>
          </cell>
        </row>
      </sheetData>
      <sheetData sheetId="9" refreshError="1"/>
      <sheetData sheetId="10" refreshError="1"/>
      <sheetData sheetId="11">
        <row r="2">
          <cell r="A2">
            <v>1</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fmohcd.org/affordable-housing-pipeline" TargetMode="External"/><Relationship Id="rId2" Type="http://schemas.openxmlformats.org/officeDocument/2006/relationships/hyperlink" Target="https://sfplanning.org/housing-balance-report" TargetMode="External"/><Relationship Id="rId1" Type="http://schemas.openxmlformats.org/officeDocument/2006/relationships/hyperlink" Target="https://sfplanning.org/housing-balance-report"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72463-8E38-4EDE-9B96-918A9375732A}">
  <dimension ref="B1:F49"/>
  <sheetViews>
    <sheetView zoomScaleNormal="100" workbookViewId="0">
      <selection activeCell="G46" sqref="G46"/>
    </sheetView>
  </sheetViews>
  <sheetFormatPr defaultRowHeight="14.4" x14ac:dyDescent="0.3"/>
  <cols>
    <col min="1" max="1" width="1.796875" style="161" customWidth="1"/>
    <col min="2" max="2" width="67.3984375" style="161" customWidth="1"/>
    <col min="3" max="3" width="5.09765625" style="162" customWidth="1"/>
    <col min="4" max="4" width="1.796875" style="162" customWidth="1"/>
    <col min="5" max="5" width="1.796875" style="163" customWidth="1"/>
    <col min="6" max="6" width="43.5" style="161" customWidth="1"/>
    <col min="7" max="7" width="33.796875" style="161" customWidth="1"/>
    <col min="8" max="16384" width="8.796875" style="161"/>
  </cols>
  <sheetData>
    <row r="1" spans="2:6" s="159" customFormat="1" ht="25.8" customHeight="1" x14ac:dyDescent="0.25">
      <c r="B1" s="420" t="s">
        <v>169</v>
      </c>
      <c r="C1" s="420"/>
      <c r="D1" s="420"/>
      <c r="E1" s="157"/>
      <c r="F1" s="158"/>
    </row>
    <row r="2" spans="2:6" s="159" customFormat="1" ht="15.6" x14ac:dyDescent="0.25">
      <c r="B2" s="421" t="s">
        <v>132</v>
      </c>
      <c r="C2" s="422"/>
      <c r="D2" s="423"/>
      <c r="E2" s="331"/>
      <c r="F2" s="332" t="s">
        <v>133</v>
      </c>
    </row>
    <row r="3" spans="2:6" s="159" customFormat="1" x14ac:dyDescent="0.25">
      <c r="B3" s="333" t="s">
        <v>152</v>
      </c>
      <c r="C3" s="334"/>
      <c r="D3" s="335"/>
      <c r="E3" s="336"/>
      <c r="F3" s="375"/>
    </row>
    <row r="4" spans="2:6" s="159" customFormat="1" x14ac:dyDescent="0.25">
      <c r="B4" s="389"/>
      <c r="C4" s="390"/>
      <c r="D4" s="391"/>
      <c r="E4" s="338"/>
      <c r="F4" s="375"/>
    </row>
    <row r="5" spans="2:6" s="159" customFormat="1" ht="15" thickBot="1" x14ac:dyDescent="0.3">
      <c r="B5" s="408" t="s">
        <v>134</v>
      </c>
      <c r="C5" s="409"/>
      <c r="D5" s="410"/>
      <c r="E5" s="342"/>
      <c r="F5" s="375"/>
    </row>
    <row r="6" spans="2:6" s="159" customFormat="1" x14ac:dyDescent="0.25">
      <c r="B6" s="340" t="s">
        <v>135</v>
      </c>
      <c r="C6" s="402">
        <v>15</v>
      </c>
      <c r="D6" s="341"/>
      <c r="E6" s="342"/>
      <c r="F6" s="339"/>
    </row>
    <row r="7" spans="2:6" s="159" customFormat="1" x14ac:dyDescent="0.25">
      <c r="B7" s="340" t="s">
        <v>153</v>
      </c>
      <c r="C7" s="403"/>
      <c r="D7" s="341"/>
      <c r="E7" s="342"/>
      <c r="F7" s="343"/>
    </row>
    <row r="8" spans="2:6" s="159" customFormat="1" ht="9.6" customHeight="1" thickBot="1" x14ac:dyDescent="0.3">
      <c r="B8" s="344" t="s">
        <v>158</v>
      </c>
      <c r="C8" s="404"/>
      <c r="D8" s="341"/>
      <c r="E8" s="342"/>
      <c r="F8" s="345"/>
    </row>
    <row r="9" spans="2:6" s="159" customFormat="1" x14ac:dyDescent="0.25">
      <c r="B9" s="344"/>
      <c r="C9" s="378"/>
      <c r="D9" s="341"/>
      <c r="E9" s="342"/>
      <c r="F9" s="337"/>
    </row>
    <row r="10" spans="2:6" s="159" customFormat="1" ht="15" thickBot="1" x14ac:dyDescent="0.3">
      <c r="B10" s="408" t="s">
        <v>193</v>
      </c>
      <c r="C10" s="409"/>
      <c r="D10" s="410"/>
      <c r="E10" s="342"/>
      <c r="F10" s="375"/>
    </row>
    <row r="11" spans="2:6" s="159" customFormat="1" ht="58.2" thickBot="1" x14ac:dyDescent="0.3">
      <c r="B11" s="346" t="s">
        <v>167</v>
      </c>
      <c r="C11" s="380">
        <v>15</v>
      </c>
      <c r="D11" s="341"/>
      <c r="E11" s="342"/>
      <c r="F11" s="353"/>
    </row>
    <row r="12" spans="2:6" s="159" customFormat="1" x14ac:dyDescent="0.25">
      <c r="B12" s="340"/>
      <c r="C12" s="379"/>
      <c r="D12" s="341"/>
      <c r="E12" s="342"/>
      <c r="F12" s="375"/>
    </row>
    <row r="13" spans="2:6" s="159" customFormat="1" ht="15" thickBot="1" x14ac:dyDescent="0.3">
      <c r="B13" s="408" t="s">
        <v>136</v>
      </c>
      <c r="C13" s="409"/>
      <c r="D13" s="410"/>
      <c r="E13" s="342"/>
      <c r="F13" s="375"/>
    </row>
    <row r="14" spans="2:6" s="159" customFormat="1" ht="58.2" thickBot="1" x14ac:dyDescent="0.3">
      <c r="B14" s="346" t="s">
        <v>194</v>
      </c>
      <c r="C14" s="380">
        <v>5</v>
      </c>
      <c r="D14" s="341"/>
      <c r="E14" s="342"/>
      <c r="F14" s="353"/>
    </row>
    <row r="15" spans="2:6" s="159" customFormat="1" ht="8.4" customHeight="1" x14ac:dyDescent="0.25">
      <c r="B15" s="347" t="s">
        <v>137</v>
      </c>
      <c r="C15" s="383"/>
      <c r="D15" s="348"/>
      <c r="E15" s="349"/>
      <c r="F15" s="375"/>
    </row>
    <row r="16" spans="2:6" s="159" customFormat="1" ht="8.4" customHeight="1" x14ac:dyDescent="0.25">
      <c r="B16" s="401"/>
      <c r="C16" s="401"/>
      <c r="D16" s="401"/>
      <c r="E16" s="350"/>
      <c r="F16" s="337"/>
    </row>
    <row r="17" spans="2:6" s="159" customFormat="1" ht="17.399999999999999" customHeight="1" x14ac:dyDescent="0.25">
      <c r="B17" s="333" t="s">
        <v>155</v>
      </c>
      <c r="C17" s="334"/>
      <c r="D17" s="335" t="s">
        <v>137</v>
      </c>
      <c r="E17" s="336"/>
      <c r="F17" s="337"/>
    </row>
    <row r="18" spans="2:6" s="160" customFormat="1" ht="8.4" customHeight="1" x14ac:dyDescent="0.25">
      <c r="B18" s="362" t="s">
        <v>137</v>
      </c>
      <c r="C18" s="376" t="s">
        <v>137</v>
      </c>
      <c r="D18" s="352"/>
      <c r="E18" s="338"/>
      <c r="F18" s="392"/>
    </row>
    <row r="19" spans="2:6" s="160" customFormat="1" ht="15" thickBot="1" x14ac:dyDescent="0.35">
      <c r="B19" s="385" t="s">
        <v>195</v>
      </c>
      <c r="C19" s="376"/>
      <c r="D19" s="352"/>
      <c r="E19" s="338"/>
      <c r="F19" s="375"/>
    </row>
    <row r="20" spans="2:6" ht="29.4" thickBot="1" x14ac:dyDescent="0.35">
      <c r="B20" s="362" t="s">
        <v>196</v>
      </c>
      <c r="C20" s="351">
        <v>10</v>
      </c>
      <c r="D20" s="352"/>
      <c r="E20" s="355"/>
      <c r="F20" s="397"/>
    </row>
    <row r="21" spans="2:6" x14ac:dyDescent="0.3">
      <c r="B21" s="362"/>
      <c r="C21" s="384"/>
      <c r="D21" s="352"/>
      <c r="E21" s="355"/>
      <c r="F21" s="393"/>
    </row>
    <row r="22" spans="2:6" ht="15" thickBot="1" x14ac:dyDescent="0.35">
      <c r="B22" s="385" t="s">
        <v>197</v>
      </c>
      <c r="C22" s="386"/>
      <c r="D22" s="387"/>
      <c r="E22" s="388"/>
      <c r="F22" s="394"/>
    </row>
    <row r="23" spans="2:6" ht="29.4" thickBot="1" x14ac:dyDescent="0.35">
      <c r="B23" s="373" t="s">
        <v>198</v>
      </c>
      <c r="C23" s="351">
        <v>10</v>
      </c>
      <c r="D23" s="354"/>
      <c r="E23" s="355"/>
      <c r="F23" s="397"/>
    </row>
    <row r="24" spans="2:6" ht="10.8" customHeight="1" x14ac:dyDescent="0.3">
      <c r="B24" s="373"/>
      <c r="C24" s="374"/>
      <c r="D24" s="354"/>
      <c r="E24" s="355"/>
      <c r="F24" s="393"/>
    </row>
    <row r="25" spans="2:6" ht="15" thickBot="1" x14ac:dyDescent="0.35">
      <c r="B25" s="385" t="s">
        <v>199</v>
      </c>
      <c r="C25" s="374"/>
      <c r="D25" s="354"/>
      <c r="E25" s="350"/>
      <c r="F25" s="393"/>
    </row>
    <row r="26" spans="2:6" ht="29.4" thickBot="1" x14ac:dyDescent="0.35">
      <c r="B26" s="373" t="s">
        <v>148</v>
      </c>
      <c r="C26" s="351">
        <v>5</v>
      </c>
      <c r="D26" s="354"/>
      <c r="E26" s="336"/>
      <c r="F26" s="372"/>
    </row>
    <row r="27" spans="2:6" x14ac:dyDescent="0.3">
      <c r="B27" s="424" t="s">
        <v>137</v>
      </c>
      <c r="C27" s="425"/>
      <c r="D27" s="426"/>
      <c r="E27" s="338"/>
      <c r="F27" s="393"/>
    </row>
    <row r="28" spans="2:6" x14ac:dyDescent="0.3">
      <c r="B28" s="401"/>
      <c r="C28" s="401"/>
      <c r="D28" s="401"/>
      <c r="E28" s="350"/>
      <c r="F28" s="393"/>
    </row>
    <row r="29" spans="2:6" x14ac:dyDescent="0.3">
      <c r="B29" s="333" t="s">
        <v>138</v>
      </c>
      <c r="C29" s="334"/>
      <c r="D29" s="335" t="s">
        <v>137</v>
      </c>
      <c r="E29" s="350"/>
      <c r="F29" s="395"/>
    </row>
    <row r="30" spans="2:6" x14ac:dyDescent="0.3">
      <c r="B30" s="389"/>
      <c r="C30" s="390"/>
      <c r="D30" s="391"/>
      <c r="E30" s="350"/>
      <c r="F30" s="395"/>
    </row>
    <row r="31" spans="2:6" ht="15" thickBot="1" x14ac:dyDescent="0.35">
      <c r="B31" s="408" t="s">
        <v>168</v>
      </c>
      <c r="C31" s="409"/>
      <c r="D31" s="410"/>
      <c r="E31" s="361"/>
      <c r="F31" s="395"/>
    </row>
    <row r="32" spans="2:6" x14ac:dyDescent="0.3">
      <c r="B32" s="381" t="s">
        <v>156</v>
      </c>
      <c r="C32" s="411">
        <v>15</v>
      </c>
      <c r="D32" s="358"/>
      <c r="E32" s="350"/>
      <c r="F32" s="368"/>
    </row>
    <row r="33" spans="2:6" x14ac:dyDescent="0.3">
      <c r="B33" s="357" t="s">
        <v>157</v>
      </c>
      <c r="C33" s="412"/>
      <c r="D33" s="358"/>
      <c r="E33" s="336"/>
      <c r="F33" s="359"/>
    </row>
    <row r="34" spans="2:6" ht="15" thickBot="1" x14ac:dyDescent="0.35">
      <c r="B34" s="357" t="s">
        <v>139</v>
      </c>
      <c r="C34" s="413"/>
      <c r="D34" s="358"/>
      <c r="E34" s="338"/>
      <c r="F34" s="356"/>
    </row>
    <row r="35" spans="2:6" x14ac:dyDescent="0.3">
      <c r="B35" s="414" t="s">
        <v>137</v>
      </c>
      <c r="C35" s="415"/>
      <c r="D35" s="416"/>
      <c r="E35" s="338"/>
      <c r="F35" s="393"/>
    </row>
    <row r="36" spans="2:6" x14ac:dyDescent="0.3">
      <c r="B36" s="401"/>
      <c r="C36" s="401"/>
      <c r="D36" s="401"/>
      <c r="E36" s="365"/>
      <c r="F36" s="395"/>
    </row>
    <row r="37" spans="2:6" x14ac:dyDescent="0.3">
      <c r="B37" s="333" t="s">
        <v>140</v>
      </c>
      <c r="C37" s="334"/>
      <c r="D37" s="335" t="s">
        <v>137</v>
      </c>
      <c r="E37" s="365"/>
      <c r="F37" s="395"/>
    </row>
    <row r="38" spans="2:6" x14ac:dyDescent="0.3">
      <c r="B38" s="389"/>
      <c r="C38" s="390"/>
      <c r="D38" s="391"/>
      <c r="E38" s="365"/>
      <c r="F38" s="395"/>
    </row>
    <row r="39" spans="2:6" ht="15" thickBot="1" x14ac:dyDescent="0.35">
      <c r="B39" s="408" t="s">
        <v>141</v>
      </c>
      <c r="C39" s="409"/>
      <c r="D39" s="410"/>
      <c r="E39" s="365"/>
      <c r="F39" s="395"/>
    </row>
    <row r="40" spans="2:6" x14ac:dyDescent="0.3">
      <c r="B40" s="362" t="s">
        <v>142</v>
      </c>
      <c r="C40" s="417">
        <v>25</v>
      </c>
      <c r="D40" s="382"/>
      <c r="E40" s="365"/>
      <c r="F40" s="368"/>
    </row>
    <row r="41" spans="2:6" x14ac:dyDescent="0.3">
      <c r="B41" s="363" t="s">
        <v>143</v>
      </c>
      <c r="C41" s="418"/>
      <c r="D41" s="364"/>
      <c r="E41" s="330"/>
      <c r="F41" s="359"/>
    </row>
    <row r="42" spans="2:6" x14ac:dyDescent="0.3">
      <c r="B42" s="363" t="s">
        <v>144</v>
      </c>
      <c r="C42" s="418"/>
      <c r="D42" s="364"/>
      <c r="E42" s="336"/>
      <c r="F42" s="359"/>
    </row>
    <row r="43" spans="2:6" x14ac:dyDescent="0.3">
      <c r="B43" s="377" t="s">
        <v>154</v>
      </c>
      <c r="C43" s="418"/>
      <c r="D43" s="364"/>
      <c r="E43" s="330"/>
      <c r="F43" s="359"/>
    </row>
    <row r="44" spans="2:6" ht="15" thickBot="1" x14ac:dyDescent="0.35">
      <c r="B44" s="363" t="s">
        <v>145</v>
      </c>
      <c r="C44" s="419"/>
      <c r="D44" s="364"/>
      <c r="E44" s="330"/>
      <c r="F44" s="360"/>
    </row>
    <row r="45" spans="2:6" x14ac:dyDescent="0.3">
      <c r="B45" s="405" t="s">
        <v>137</v>
      </c>
      <c r="C45" s="406"/>
      <c r="D45" s="407"/>
      <c r="E45" s="330"/>
      <c r="F45" s="395"/>
    </row>
    <row r="46" spans="2:6" ht="15" thickBot="1" x14ac:dyDescent="0.35">
      <c r="B46" s="401"/>
      <c r="C46" s="401"/>
      <c r="D46" s="401"/>
      <c r="E46" s="330"/>
      <c r="F46" s="395"/>
    </row>
    <row r="47" spans="2:6" ht="15" thickBot="1" x14ac:dyDescent="0.35">
      <c r="B47" s="398" t="s">
        <v>137</v>
      </c>
      <c r="C47" s="366"/>
      <c r="D47" s="367" t="s">
        <v>137</v>
      </c>
      <c r="E47" s="330"/>
      <c r="F47" s="330"/>
    </row>
    <row r="48" spans="2:6" ht="15" thickBot="1" x14ac:dyDescent="0.35">
      <c r="B48" s="400" t="s">
        <v>200</v>
      </c>
      <c r="C48" s="396">
        <f>SUM(C6+C11+C14+C20+C23+C26+C32+C40)</f>
        <v>100</v>
      </c>
      <c r="D48" s="369"/>
      <c r="E48" s="330"/>
      <c r="F48" s="330"/>
    </row>
    <row r="49" spans="2:4" ht="15" thickBot="1" x14ac:dyDescent="0.35">
      <c r="B49" s="399"/>
      <c r="C49" s="370"/>
      <c r="D49" s="371"/>
    </row>
  </sheetData>
  <mergeCells count="17">
    <mergeCell ref="B1:D1"/>
    <mergeCell ref="B2:D2"/>
    <mergeCell ref="B5:D5"/>
    <mergeCell ref="B10:D10"/>
    <mergeCell ref="B13:D13"/>
    <mergeCell ref="B46:D46"/>
    <mergeCell ref="C6:C8"/>
    <mergeCell ref="B45:D45"/>
    <mergeCell ref="B28:D28"/>
    <mergeCell ref="B31:D31"/>
    <mergeCell ref="C32:C34"/>
    <mergeCell ref="B35:D35"/>
    <mergeCell ref="B36:D36"/>
    <mergeCell ref="B39:D39"/>
    <mergeCell ref="C40:C44"/>
    <mergeCell ref="B16:D16"/>
    <mergeCell ref="B27:D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C98C4-DDD2-4C95-8E9E-16448F1EBBB4}">
  <dimension ref="A2:AW57"/>
  <sheetViews>
    <sheetView tabSelected="1" zoomScaleNormal="100" workbookViewId="0">
      <selection activeCell="AZ102" sqref="AZ102"/>
    </sheetView>
  </sheetViews>
  <sheetFormatPr defaultRowHeight="14.4" x14ac:dyDescent="0.3"/>
  <cols>
    <col min="1" max="1" width="21.296875" style="161" customWidth="1"/>
    <col min="2" max="2" width="15.8984375" style="161" customWidth="1"/>
    <col min="3" max="4" width="8.796875" style="161"/>
    <col min="5" max="5" width="10.5" style="161" bestFit="1" customWidth="1"/>
    <col min="6" max="6" width="6.19921875" style="161" customWidth="1"/>
    <col min="7" max="7" width="15.3984375" style="161" bestFit="1" customWidth="1"/>
    <col min="8" max="8" width="15.59765625" style="161" customWidth="1"/>
    <col min="9" max="9" width="11.796875" style="161" customWidth="1"/>
    <col min="10" max="10" width="8.796875" style="161"/>
    <col min="11" max="11" width="12.59765625" style="161" customWidth="1"/>
    <col min="12" max="12" width="8.796875" style="161"/>
    <col min="13" max="13" width="11.3984375" style="161" customWidth="1"/>
    <col min="14" max="14" width="15" style="161" customWidth="1"/>
    <col min="15" max="15" width="17.09765625" style="161" customWidth="1"/>
    <col min="16" max="16" width="11.296875" style="161" customWidth="1"/>
    <col min="17" max="17" width="12.59765625" style="161" customWidth="1"/>
    <col min="18" max="18" width="25.09765625" style="161" customWidth="1"/>
    <col min="19" max="19" width="16.5" style="161" customWidth="1"/>
    <col min="20" max="20" width="8.796875" style="161"/>
    <col min="21" max="21" width="10.796875" style="161" customWidth="1"/>
    <col min="22" max="22" width="8.796875" style="161"/>
    <col min="23" max="23" width="12.5" style="161" customWidth="1"/>
    <col min="24" max="24" width="14.69921875" style="161" customWidth="1"/>
    <col min="25" max="25" width="13.09765625" style="161" hidden="1" customWidth="1"/>
    <col min="26" max="26" width="15.296875" style="161" hidden="1" customWidth="1"/>
    <col min="27" max="27" width="9.3984375" style="161" hidden="1" customWidth="1"/>
    <col min="28" max="29" width="37.19921875" style="161" hidden="1" customWidth="1"/>
    <col min="30" max="37" width="0" style="161" hidden="1" customWidth="1"/>
    <col min="38" max="38" width="6.59765625" style="162" customWidth="1"/>
    <col min="39" max="39" width="6.59765625" style="161" customWidth="1"/>
    <col min="40" max="40" width="8.5" style="161" customWidth="1"/>
    <col min="41" max="41" width="6.8984375" style="163" customWidth="1"/>
    <col min="42" max="42" width="6.59765625" style="161" customWidth="1"/>
    <col min="43" max="43" width="9.09765625" style="161" customWidth="1"/>
    <col min="44" max="44" width="7.09765625" style="161" customWidth="1"/>
    <col min="45" max="45" width="6.796875" style="161" customWidth="1"/>
    <col min="46" max="46" width="9.09765625" style="161" customWidth="1"/>
    <col min="47" max="47" width="5.09765625" style="161" customWidth="1"/>
    <col min="48" max="48" width="5.8984375" style="161" customWidth="1"/>
    <col min="49" max="49" width="8.796875" style="162"/>
    <col min="50" max="16384" width="8.796875" style="161"/>
  </cols>
  <sheetData>
    <row r="2" spans="1:2" ht="28.8" x14ac:dyDescent="0.3">
      <c r="A2" s="176" t="s">
        <v>150</v>
      </c>
    </row>
    <row r="6" spans="1:2" x14ac:dyDescent="0.3">
      <c r="A6" s="173" t="s">
        <v>160</v>
      </c>
    </row>
    <row r="7" spans="1:2" x14ac:dyDescent="0.3">
      <c r="A7" s="168" t="s">
        <v>159</v>
      </c>
    </row>
    <row r="8" spans="1:2" x14ac:dyDescent="0.3">
      <c r="A8" s="174" t="s">
        <v>147</v>
      </c>
      <c r="B8" s="171" t="s">
        <v>146</v>
      </c>
    </row>
    <row r="9" spans="1:2" x14ac:dyDescent="0.3">
      <c r="A9" s="172">
        <v>1</v>
      </c>
      <c r="B9" s="171">
        <v>9</v>
      </c>
    </row>
    <row r="10" spans="1:2" x14ac:dyDescent="0.3">
      <c r="A10" s="172">
        <v>2</v>
      </c>
      <c r="B10" s="171">
        <v>5</v>
      </c>
    </row>
    <row r="11" spans="1:2" x14ac:dyDescent="0.3">
      <c r="A11" s="172">
        <v>3</v>
      </c>
      <c r="B11" s="171">
        <v>1</v>
      </c>
    </row>
    <row r="12" spans="1:2" x14ac:dyDescent="0.3">
      <c r="A12" s="172">
        <v>4</v>
      </c>
      <c r="B12" s="171">
        <v>10</v>
      </c>
    </row>
    <row r="13" spans="1:2" x14ac:dyDescent="0.3">
      <c r="A13" s="172">
        <v>5</v>
      </c>
      <c r="B13" s="171">
        <v>0</v>
      </c>
    </row>
    <row r="14" spans="1:2" x14ac:dyDescent="0.3">
      <c r="A14" s="172">
        <v>6</v>
      </c>
      <c r="B14" s="171">
        <v>4</v>
      </c>
    </row>
    <row r="15" spans="1:2" x14ac:dyDescent="0.3">
      <c r="A15" s="172">
        <v>7</v>
      </c>
      <c r="B15" s="171">
        <v>6</v>
      </c>
    </row>
    <row r="16" spans="1:2" x14ac:dyDescent="0.3">
      <c r="A16" s="172">
        <v>8</v>
      </c>
      <c r="B16" s="171">
        <v>7</v>
      </c>
    </row>
    <row r="17" spans="1:2" x14ac:dyDescent="0.3">
      <c r="A17" s="172">
        <v>9</v>
      </c>
      <c r="B17" s="171">
        <v>2</v>
      </c>
    </row>
    <row r="18" spans="1:2" x14ac:dyDescent="0.3">
      <c r="A18" s="172">
        <v>10</v>
      </c>
      <c r="B18" s="171">
        <v>3</v>
      </c>
    </row>
    <row r="19" spans="1:2" x14ac:dyDescent="0.3">
      <c r="A19" s="172">
        <v>11</v>
      </c>
      <c r="B19" s="171">
        <v>8</v>
      </c>
    </row>
    <row r="25" spans="1:2" x14ac:dyDescent="0.3">
      <c r="A25" s="173" t="s">
        <v>161</v>
      </c>
    </row>
    <row r="26" spans="1:2" x14ac:dyDescent="0.3">
      <c r="A26" s="168" t="s">
        <v>159</v>
      </c>
    </row>
    <row r="27" spans="1:2" x14ac:dyDescent="0.3">
      <c r="A27" s="174" t="s">
        <v>147</v>
      </c>
      <c r="B27" s="171" t="s">
        <v>146</v>
      </c>
    </row>
    <row r="28" spans="1:2" x14ac:dyDescent="0.3">
      <c r="A28" s="172">
        <v>1</v>
      </c>
      <c r="B28" s="171">
        <v>8</v>
      </c>
    </row>
    <row r="29" spans="1:2" x14ac:dyDescent="0.3">
      <c r="A29" s="172">
        <v>2</v>
      </c>
      <c r="B29" s="171">
        <v>2</v>
      </c>
    </row>
    <row r="30" spans="1:2" x14ac:dyDescent="0.3">
      <c r="A30" s="172">
        <v>3</v>
      </c>
      <c r="B30" s="171">
        <v>3</v>
      </c>
    </row>
    <row r="31" spans="1:2" x14ac:dyDescent="0.3">
      <c r="A31" s="172">
        <v>4</v>
      </c>
      <c r="B31" s="171">
        <v>7</v>
      </c>
    </row>
    <row r="32" spans="1:2" x14ac:dyDescent="0.3">
      <c r="A32" s="172">
        <v>5</v>
      </c>
      <c r="B32" s="171">
        <v>5</v>
      </c>
    </row>
    <row r="33" spans="1:49" x14ac:dyDescent="0.3">
      <c r="A33" s="172">
        <v>6</v>
      </c>
      <c r="B33" s="171">
        <v>0</v>
      </c>
    </row>
    <row r="34" spans="1:49" x14ac:dyDescent="0.3">
      <c r="A34" s="172">
        <v>7</v>
      </c>
      <c r="B34" s="171">
        <v>1</v>
      </c>
      <c r="O34" s="173"/>
      <c r="P34" s="173"/>
      <c r="AV34" s="162"/>
      <c r="AW34" s="161"/>
    </row>
    <row r="35" spans="1:49" x14ac:dyDescent="0.3">
      <c r="A35" s="172">
        <v>8</v>
      </c>
      <c r="B35" s="171">
        <v>9</v>
      </c>
    </row>
    <row r="36" spans="1:49" x14ac:dyDescent="0.3">
      <c r="A36" s="172">
        <v>9</v>
      </c>
      <c r="B36" s="171">
        <v>10</v>
      </c>
    </row>
    <row r="37" spans="1:49" x14ac:dyDescent="0.3">
      <c r="A37" s="172">
        <v>10</v>
      </c>
      <c r="B37" s="171">
        <v>4</v>
      </c>
    </row>
    <row r="38" spans="1:49" x14ac:dyDescent="0.3">
      <c r="A38" s="172">
        <v>11</v>
      </c>
      <c r="B38" s="171">
        <v>6</v>
      </c>
      <c r="AT38" s="437"/>
      <c r="AU38" s="437"/>
      <c r="AV38" s="437"/>
      <c r="AW38" s="438"/>
    </row>
    <row r="39" spans="1:49" ht="15.6" x14ac:dyDescent="0.3">
      <c r="A39" s="170"/>
      <c r="B39" s="169"/>
      <c r="AT39" s="437"/>
      <c r="AU39" s="437"/>
      <c r="AV39" s="437"/>
      <c r="AW39" s="438"/>
    </row>
    <row r="40" spans="1:49" ht="15.6" x14ac:dyDescent="0.3">
      <c r="A40" s="170"/>
      <c r="B40" s="169"/>
      <c r="AT40" s="437"/>
      <c r="AU40" s="437"/>
      <c r="AV40" s="439"/>
      <c r="AW40" s="438"/>
    </row>
    <row r="41" spans="1:49" ht="15.6" x14ac:dyDescent="0.3">
      <c r="A41" s="170"/>
      <c r="B41" s="169"/>
      <c r="AT41" s="437"/>
      <c r="AU41" s="437"/>
      <c r="AV41" s="439"/>
      <c r="AW41" s="438"/>
    </row>
    <row r="42" spans="1:49" x14ac:dyDescent="0.3">
      <c r="AT42" s="437"/>
      <c r="AU42" s="437"/>
      <c r="AV42" s="440"/>
      <c r="AW42" s="438"/>
    </row>
    <row r="43" spans="1:49" x14ac:dyDescent="0.3">
      <c r="A43" s="173" t="s">
        <v>162</v>
      </c>
      <c r="AT43" s="437"/>
      <c r="AU43" s="437"/>
      <c r="AV43" s="440"/>
      <c r="AW43" s="438"/>
    </row>
    <row r="44" spans="1:49" x14ac:dyDescent="0.3">
      <c r="A44" s="168" t="s">
        <v>163</v>
      </c>
      <c r="AT44" s="437"/>
      <c r="AU44" s="437"/>
      <c r="AV44" s="440"/>
      <c r="AW44" s="438"/>
    </row>
    <row r="45" spans="1:49" x14ac:dyDescent="0.3">
      <c r="A45" s="175" t="s">
        <v>149</v>
      </c>
      <c r="B45" s="171" t="s">
        <v>146</v>
      </c>
      <c r="AT45" s="437"/>
      <c r="AU45" s="437"/>
      <c r="AV45" s="440"/>
      <c r="AW45" s="438"/>
    </row>
    <row r="46" spans="1:49" x14ac:dyDescent="0.3">
      <c r="A46" s="172">
        <v>2</v>
      </c>
      <c r="B46" s="178" t="s">
        <v>164</v>
      </c>
      <c r="AT46" s="437"/>
      <c r="AU46" s="437"/>
      <c r="AV46" s="440"/>
      <c r="AW46" s="438"/>
    </row>
    <row r="47" spans="1:49" x14ac:dyDescent="0.3">
      <c r="A47" s="172">
        <v>4</v>
      </c>
      <c r="B47" s="179" t="s">
        <v>164</v>
      </c>
      <c r="AT47" s="437"/>
      <c r="AU47" s="437"/>
      <c r="AV47" s="440"/>
      <c r="AW47" s="438"/>
    </row>
    <row r="48" spans="1:49" x14ac:dyDescent="0.3">
      <c r="A48" s="172">
        <v>5</v>
      </c>
      <c r="B48" s="179" t="s">
        <v>164</v>
      </c>
      <c r="AT48" s="437"/>
      <c r="AU48" s="437"/>
      <c r="AV48" s="440"/>
      <c r="AW48" s="438"/>
    </row>
    <row r="49" spans="1:49" x14ac:dyDescent="0.3">
      <c r="A49" s="172">
        <v>7</v>
      </c>
      <c r="B49" s="179" t="s">
        <v>164</v>
      </c>
      <c r="AT49" s="437"/>
      <c r="AU49" s="437"/>
      <c r="AV49" s="440"/>
      <c r="AW49" s="438"/>
    </row>
    <row r="50" spans="1:49" x14ac:dyDescent="0.3">
      <c r="A50" s="172">
        <v>10</v>
      </c>
      <c r="B50" s="179" t="s">
        <v>164</v>
      </c>
      <c r="AT50" s="437"/>
      <c r="AU50" s="437"/>
      <c r="AV50" s="440"/>
      <c r="AW50" s="438"/>
    </row>
    <row r="51" spans="1:49" x14ac:dyDescent="0.3">
      <c r="A51" s="165"/>
      <c r="B51" s="164"/>
      <c r="AT51" s="437"/>
      <c r="AU51" s="437"/>
      <c r="AV51" s="437"/>
      <c r="AW51" s="438"/>
    </row>
    <row r="52" spans="1:49" x14ac:dyDescent="0.3">
      <c r="A52" s="165"/>
      <c r="B52" s="164"/>
    </row>
    <row r="53" spans="1:49" x14ac:dyDescent="0.3">
      <c r="A53" s="165"/>
      <c r="B53" s="164"/>
      <c r="Z53" s="167"/>
    </row>
    <row r="54" spans="1:49" x14ac:dyDescent="0.3">
      <c r="A54" s="165"/>
      <c r="B54" s="164"/>
      <c r="X54" s="168"/>
      <c r="Z54" s="167"/>
    </row>
    <row r="55" spans="1:49" ht="15.6" x14ac:dyDescent="0.3">
      <c r="A55" s="165"/>
      <c r="B55" s="164"/>
      <c r="W55" s="166"/>
    </row>
    <row r="56" spans="1:49" x14ac:dyDescent="0.3">
      <c r="A56" s="165"/>
      <c r="B56" s="164"/>
    </row>
    <row r="57" spans="1:49" hidden="1" x14ac:dyDescent="0.3"/>
  </sheetData>
  <mergeCells count="1">
    <mergeCell ref="AV40:AV41"/>
  </mergeCells>
  <hyperlinks>
    <hyperlink ref="A7" r:id="rId1" location="reports" xr:uid="{5E1F952D-4896-48B2-977B-66F567D7BC22}"/>
    <hyperlink ref="A26" r:id="rId2" location="reports" xr:uid="{DCF940E8-2401-41C5-B5F8-C8E08BABAD6A}"/>
    <hyperlink ref="A44" r:id="rId3" xr:uid="{595C461C-804F-441E-9C50-03B01CBD9686}"/>
  </hyperlinks>
  <pageMargins left="0.7" right="0.7" top="0.75" bottom="0.75" header="0.3" footer="0.3"/>
  <pageSetup orientation="portrait" r:id="rId4"/>
  <ignoredErrors>
    <ignoredError sqref="B46:B50" numberStoredAsText="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showGridLines="0" zoomScaleNormal="100" workbookViewId="0">
      <selection activeCell="B47" sqref="B47"/>
    </sheetView>
  </sheetViews>
  <sheetFormatPr defaultColWidth="12.59765625" defaultRowHeight="15" customHeight="1" x14ac:dyDescent="0.25"/>
  <cols>
    <col min="1" max="1" width="30" customWidth="1"/>
    <col min="2" max="2" width="16.09765625" customWidth="1"/>
    <col min="3" max="3" width="10.19921875" customWidth="1"/>
    <col min="4" max="5" width="11.8984375" customWidth="1"/>
    <col min="6" max="6" width="16.8984375" customWidth="1"/>
    <col min="7" max="7" width="10.3984375" customWidth="1"/>
    <col min="8" max="8" width="8.796875" customWidth="1"/>
    <col min="9" max="9" width="12.5" customWidth="1"/>
    <col min="10" max="10" width="10.796875" customWidth="1"/>
  </cols>
  <sheetData>
    <row r="1" spans="1:27" ht="23.4" customHeight="1" x14ac:dyDescent="0.3">
      <c r="A1" s="190" t="s">
        <v>170</v>
      </c>
      <c r="B1" s="2"/>
      <c r="C1" s="191" t="s">
        <v>0</v>
      </c>
      <c r="D1" s="191"/>
      <c r="E1" s="192"/>
    </row>
    <row r="2" spans="1:27" ht="13.8" customHeight="1" x14ac:dyDescent="0.3">
      <c r="F2" s="2"/>
      <c r="H2" s="193"/>
      <c r="I2" s="193"/>
      <c r="J2" s="2"/>
      <c r="K2" s="2"/>
      <c r="L2" s="2"/>
      <c r="M2" s="2"/>
      <c r="N2" s="2"/>
      <c r="O2" s="2"/>
      <c r="P2" s="2"/>
      <c r="Q2" s="2"/>
      <c r="R2" s="2"/>
      <c r="S2" s="2"/>
      <c r="T2" s="2"/>
      <c r="U2" s="2"/>
      <c r="V2" s="2"/>
      <c r="W2" s="2"/>
      <c r="X2" s="2"/>
      <c r="Y2" s="2"/>
      <c r="Z2" s="2"/>
      <c r="AA2" s="2"/>
    </row>
    <row r="3" spans="1:27" ht="15.6" x14ac:dyDescent="0.3">
      <c r="A3" s="429" t="s">
        <v>183</v>
      </c>
      <c r="B3" s="430"/>
      <c r="C3" s="2"/>
      <c r="D3" s="2"/>
      <c r="E3" s="2"/>
      <c r="F3" s="278" t="s">
        <v>70</v>
      </c>
      <c r="G3" s="279"/>
      <c r="H3" s="281" t="s">
        <v>137</v>
      </c>
      <c r="I3" s="2"/>
      <c r="J3" s="2"/>
      <c r="K3" s="2"/>
      <c r="L3" s="2"/>
      <c r="M3" s="2"/>
      <c r="N3" s="2"/>
      <c r="O3" s="2"/>
      <c r="P3" s="2"/>
      <c r="Q3" s="2"/>
      <c r="R3" s="2"/>
      <c r="S3" s="2"/>
      <c r="T3" s="2"/>
      <c r="U3" s="2"/>
      <c r="V3" s="2"/>
      <c r="W3" s="2"/>
      <c r="X3" s="2"/>
      <c r="Y3" s="2"/>
      <c r="Z3" s="2"/>
      <c r="AA3" s="2"/>
    </row>
    <row r="4" spans="1:27" ht="15.6" x14ac:dyDescent="0.3">
      <c r="A4" s="118" t="s">
        <v>5</v>
      </c>
      <c r="B4" s="187" t="s">
        <v>6</v>
      </c>
      <c r="C4" s="2"/>
      <c r="D4" s="2"/>
      <c r="E4" s="2"/>
      <c r="F4" s="240" t="s">
        <v>191</v>
      </c>
      <c r="G4" s="282">
        <v>18</v>
      </c>
      <c r="H4" s="258" t="s">
        <v>27</v>
      </c>
      <c r="I4" s="2"/>
      <c r="J4" s="2"/>
      <c r="K4" s="2"/>
      <c r="L4" s="2"/>
      <c r="M4" s="2"/>
      <c r="N4" s="2"/>
      <c r="O4" s="2"/>
      <c r="P4" s="2"/>
      <c r="Q4" s="2"/>
      <c r="R4" s="2"/>
      <c r="S4" s="2"/>
      <c r="T4" s="2"/>
      <c r="U4" s="2"/>
      <c r="V4" s="2"/>
      <c r="W4" s="2"/>
      <c r="X4" s="2"/>
      <c r="Y4" s="2"/>
      <c r="Z4" s="2"/>
      <c r="AA4" s="2"/>
    </row>
    <row r="5" spans="1:27" ht="15.6" x14ac:dyDescent="0.3">
      <c r="A5" s="118" t="s">
        <v>8</v>
      </c>
      <c r="B5" s="187" t="s">
        <v>9</v>
      </c>
      <c r="C5" s="2"/>
      <c r="D5" s="2"/>
      <c r="E5" s="2"/>
      <c r="F5" s="240" t="s">
        <v>29</v>
      </c>
      <c r="G5" s="214">
        <f ca="1">B70-B60+B57-B54-G6</f>
        <v>8749710.496747341</v>
      </c>
      <c r="H5" s="298">
        <v>4.4999999999999998E-2</v>
      </c>
      <c r="I5" s="2"/>
      <c r="J5" s="2"/>
      <c r="K5" s="2"/>
      <c r="L5" s="2"/>
      <c r="M5" s="2"/>
      <c r="N5" s="2"/>
      <c r="O5" s="2"/>
      <c r="P5" s="2"/>
      <c r="Q5" s="2"/>
      <c r="R5" s="2"/>
      <c r="S5" s="2"/>
      <c r="T5" s="2"/>
      <c r="U5" s="2"/>
      <c r="V5" s="2"/>
      <c r="W5" s="2"/>
      <c r="X5" s="2"/>
      <c r="Y5" s="2"/>
      <c r="Z5" s="2"/>
      <c r="AA5" s="2"/>
    </row>
    <row r="6" spans="1:27" ht="14.25" customHeight="1" x14ac:dyDescent="0.3">
      <c r="A6" s="118" t="s">
        <v>11</v>
      </c>
      <c r="B6" s="188" t="s">
        <v>12</v>
      </c>
      <c r="C6" s="2"/>
      <c r="D6" s="2"/>
      <c r="E6" s="2"/>
      <c r="F6" s="230" t="s">
        <v>31</v>
      </c>
      <c r="G6" s="283">
        <f ca="1">H6*(B70-B60+B57-B54)</f>
        <v>178565.52034178245</v>
      </c>
      <c r="H6" s="275">
        <v>0.02</v>
      </c>
      <c r="I6" s="2"/>
      <c r="J6" s="2"/>
      <c r="K6" s="2"/>
      <c r="L6" s="2"/>
      <c r="M6" s="2"/>
      <c r="N6" s="2"/>
      <c r="O6" s="2"/>
      <c r="P6" s="2"/>
      <c r="Q6" s="2"/>
      <c r="R6" s="2"/>
      <c r="S6" s="2"/>
      <c r="T6" s="2"/>
      <c r="U6" s="2"/>
      <c r="V6" s="2"/>
      <c r="W6" s="2"/>
      <c r="X6" s="2"/>
      <c r="Y6" s="2"/>
      <c r="Z6" s="2"/>
      <c r="AA6" s="2"/>
    </row>
    <row r="7" spans="1:27" ht="15.6" x14ac:dyDescent="0.3">
      <c r="A7" s="118" t="s">
        <v>14</v>
      </c>
      <c r="B7" s="187">
        <v>8</v>
      </c>
      <c r="C7" s="2"/>
      <c r="D7" s="2"/>
      <c r="E7" s="2"/>
      <c r="F7" s="43"/>
      <c r="G7" s="274"/>
      <c r="H7" s="284"/>
      <c r="I7" s="2"/>
      <c r="J7" s="2"/>
      <c r="K7" s="2"/>
      <c r="L7" s="2"/>
      <c r="M7" s="2"/>
      <c r="N7" s="2"/>
      <c r="O7" s="2"/>
      <c r="P7" s="2"/>
      <c r="Q7" s="2"/>
      <c r="R7" s="2"/>
      <c r="S7" s="2"/>
      <c r="T7" s="2"/>
      <c r="U7" s="2"/>
      <c r="V7" s="2"/>
      <c r="W7" s="2"/>
      <c r="X7" s="2"/>
      <c r="Y7" s="2"/>
      <c r="Z7" s="2"/>
      <c r="AA7" s="2"/>
    </row>
    <row r="8" spans="1:27" ht="15.6" x14ac:dyDescent="0.3">
      <c r="A8" s="118" t="s">
        <v>15</v>
      </c>
      <c r="B8" s="187">
        <v>2</v>
      </c>
      <c r="C8" s="2"/>
      <c r="D8" s="2"/>
      <c r="E8" s="2"/>
      <c r="F8" s="278" t="s">
        <v>188</v>
      </c>
      <c r="G8" s="279" t="s">
        <v>137</v>
      </c>
      <c r="H8" s="280" t="s">
        <v>80</v>
      </c>
      <c r="I8" s="2"/>
      <c r="J8" s="2"/>
      <c r="K8" s="2"/>
      <c r="L8" s="2"/>
      <c r="M8" s="2"/>
      <c r="N8" s="2"/>
      <c r="O8" s="2"/>
      <c r="P8" s="2"/>
      <c r="Q8" s="2"/>
      <c r="R8" s="2"/>
      <c r="S8" s="2"/>
      <c r="T8" s="2"/>
      <c r="U8" s="2"/>
      <c r="V8" s="2"/>
      <c r="W8" s="2"/>
      <c r="X8" s="2"/>
      <c r="Y8" s="2"/>
      <c r="Z8" s="2"/>
      <c r="AA8" s="2"/>
    </row>
    <row r="9" spans="1:27" ht="15.6" x14ac:dyDescent="0.3">
      <c r="A9" s="118" t="s">
        <v>16</v>
      </c>
      <c r="B9" s="187">
        <v>0</v>
      </c>
      <c r="C9" s="2"/>
      <c r="D9" s="2"/>
      <c r="E9" s="2"/>
      <c r="F9" s="151" t="s">
        <v>7</v>
      </c>
      <c r="G9" s="213">
        <f ca="1">B70</f>
        <v>9183154.9736108612</v>
      </c>
      <c r="H9" s="260">
        <f ca="1">G9/$G$27</f>
        <v>918315.49736108608</v>
      </c>
      <c r="I9" s="2"/>
      <c r="J9" s="2"/>
      <c r="K9" s="2"/>
      <c r="L9" s="2"/>
      <c r="M9" s="2"/>
      <c r="N9" s="2"/>
      <c r="O9" s="2"/>
      <c r="P9" s="2"/>
      <c r="Q9" s="2"/>
      <c r="R9" s="2"/>
      <c r="S9" s="2"/>
      <c r="T9" s="2"/>
      <c r="U9" s="2"/>
      <c r="V9" s="2"/>
      <c r="W9" s="2"/>
      <c r="X9" s="2"/>
      <c r="Y9" s="2"/>
      <c r="Z9" s="2"/>
      <c r="AA9" s="2"/>
    </row>
    <row r="10" spans="1:27" ht="15.6" x14ac:dyDescent="0.3">
      <c r="A10" s="118" t="s">
        <v>18</v>
      </c>
      <c r="B10" s="187">
        <v>0</v>
      </c>
      <c r="C10" s="2"/>
      <c r="D10" s="2"/>
      <c r="E10" s="2"/>
      <c r="F10" s="152" t="s">
        <v>10</v>
      </c>
      <c r="G10" s="288">
        <f ca="1">-PV(G14/12,G15*12,SSP_CF!B17/12)</f>
        <v>4636790.0544457398</v>
      </c>
      <c r="H10" s="296">
        <f ca="1">G10/$G$27</f>
        <v>463679.005444574</v>
      </c>
      <c r="I10" s="2"/>
      <c r="J10" s="2"/>
      <c r="K10" s="2"/>
      <c r="L10" s="2"/>
      <c r="M10" s="2"/>
      <c r="N10" s="2"/>
      <c r="O10" s="2"/>
      <c r="P10" s="2"/>
      <c r="Q10" s="2"/>
      <c r="R10" s="2"/>
      <c r="S10" s="2"/>
      <c r="T10" s="2"/>
      <c r="U10" s="2"/>
      <c r="V10" s="2"/>
      <c r="W10" s="2"/>
      <c r="X10" s="2"/>
      <c r="Y10" s="2"/>
      <c r="Z10" s="2"/>
      <c r="AA10" s="2"/>
    </row>
    <row r="11" spans="1:27" ht="15.6" x14ac:dyDescent="0.3">
      <c r="A11" s="118" t="s">
        <v>21</v>
      </c>
      <c r="B11" s="187" t="s">
        <v>22</v>
      </c>
      <c r="C11" s="2"/>
      <c r="D11" s="2"/>
      <c r="E11" s="2"/>
      <c r="F11" s="153" t="s">
        <v>13</v>
      </c>
      <c r="G11" s="181">
        <f ca="1">G9-G10</f>
        <v>4546364.9191651214</v>
      </c>
      <c r="H11" s="297">
        <f ca="1">G11/$G$27</f>
        <v>454636.49191651214</v>
      </c>
      <c r="I11" s="2"/>
      <c r="J11" s="2"/>
      <c r="K11" s="2"/>
      <c r="L11" s="2"/>
      <c r="M11" s="2"/>
      <c r="N11" s="2"/>
      <c r="O11" s="2"/>
      <c r="P11" s="2"/>
      <c r="Q11" s="2"/>
      <c r="R11" s="2"/>
      <c r="S11" s="2"/>
      <c r="T11" s="2"/>
      <c r="U11" s="2"/>
      <c r="V11" s="2"/>
      <c r="W11" s="2"/>
      <c r="X11" s="2"/>
      <c r="Y11" s="2"/>
      <c r="Z11" s="2"/>
      <c r="AA11" s="2"/>
    </row>
    <row r="12" spans="1:27" ht="15.6" x14ac:dyDescent="0.3">
      <c r="A12" s="118" t="s">
        <v>24</v>
      </c>
      <c r="B12" s="187"/>
      <c r="C12" s="2"/>
      <c r="D12" s="2"/>
      <c r="E12" s="2"/>
      <c r="F12" s="43"/>
      <c r="G12" s="43"/>
      <c r="H12" s="43"/>
      <c r="I12" s="2"/>
      <c r="J12" s="2"/>
      <c r="K12" s="2"/>
      <c r="L12" s="2"/>
      <c r="M12" s="2"/>
      <c r="N12" s="2"/>
      <c r="O12" s="2"/>
      <c r="P12" s="2"/>
      <c r="Q12" s="2"/>
      <c r="R12" s="2"/>
      <c r="S12" s="2"/>
      <c r="T12" s="2"/>
      <c r="U12" s="2"/>
      <c r="V12" s="2"/>
      <c r="W12" s="2"/>
      <c r="X12" s="2"/>
      <c r="Y12" s="2"/>
      <c r="Z12" s="2"/>
      <c r="AA12" s="2"/>
    </row>
    <row r="13" spans="1:27" ht="15.6" x14ac:dyDescent="0.3">
      <c r="A13" s="118" t="s">
        <v>25</v>
      </c>
      <c r="B13" s="187"/>
      <c r="C13" s="2"/>
      <c r="D13" s="2"/>
      <c r="E13" s="2"/>
      <c r="F13" s="289" t="s">
        <v>190</v>
      </c>
      <c r="G13" s="290"/>
      <c r="H13" s="291"/>
      <c r="I13" s="2"/>
      <c r="J13" s="2"/>
      <c r="K13" s="2"/>
      <c r="L13" s="2"/>
      <c r="M13" s="2"/>
      <c r="N13" s="2"/>
      <c r="O13" s="2"/>
      <c r="P13" s="2"/>
      <c r="Q13" s="2"/>
      <c r="R13" s="2"/>
      <c r="S13" s="2"/>
      <c r="T13" s="2"/>
      <c r="U13" s="2"/>
      <c r="V13" s="2"/>
      <c r="W13" s="2"/>
      <c r="X13" s="2"/>
      <c r="Y13" s="2"/>
      <c r="Z13" s="2"/>
      <c r="AA13" s="2"/>
    </row>
    <row r="14" spans="1:27" ht="15.6" x14ac:dyDescent="0.3">
      <c r="A14" s="118" t="s">
        <v>28</v>
      </c>
      <c r="B14" s="187"/>
      <c r="C14" s="2"/>
      <c r="D14" s="2"/>
      <c r="E14" s="2"/>
      <c r="F14" s="229" t="s">
        <v>17</v>
      </c>
      <c r="G14" s="325">
        <v>4.2000000000000003E-2</v>
      </c>
      <c r="H14" s="229"/>
      <c r="I14" s="2"/>
      <c r="J14" s="2"/>
      <c r="K14" s="2"/>
      <c r="L14" s="2"/>
      <c r="M14" s="2"/>
      <c r="N14" s="2"/>
      <c r="O14" s="2"/>
      <c r="P14" s="2"/>
      <c r="Q14" s="2"/>
      <c r="R14" s="2"/>
      <c r="S14" s="2"/>
      <c r="T14" s="2"/>
      <c r="U14" s="2"/>
      <c r="V14" s="2"/>
      <c r="W14" s="2"/>
      <c r="X14" s="2"/>
      <c r="Y14" s="2"/>
      <c r="Z14" s="2"/>
      <c r="AA14" s="2"/>
    </row>
    <row r="15" spans="1:27" ht="15.6" x14ac:dyDescent="0.3">
      <c r="A15" s="118" t="s">
        <v>30</v>
      </c>
      <c r="B15" s="187"/>
      <c r="C15" s="2"/>
      <c r="D15" s="2"/>
      <c r="E15" s="2"/>
      <c r="F15" s="223" t="s">
        <v>19</v>
      </c>
      <c r="G15" s="223">
        <v>40</v>
      </c>
      <c r="H15" s="224" t="s">
        <v>20</v>
      </c>
      <c r="I15" s="2"/>
      <c r="J15" s="2"/>
      <c r="K15" s="2"/>
      <c r="L15" s="2"/>
      <c r="M15" s="2"/>
      <c r="N15" s="2"/>
      <c r="O15" s="2"/>
      <c r="P15" s="2"/>
      <c r="Q15" s="2"/>
      <c r="R15" s="2"/>
      <c r="S15" s="2"/>
      <c r="T15" s="2"/>
      <c r="U15" s="2"/>
      <c r="V15" s="2"/>
      <c r="W15" s="2"/>
      <c r="X15" s="2"/>
      <c r="Y15" s="2"/>
      <c r="Z15" s="2"/>
      <c r="AA15" s="2"/>
    </row>
    <row r="16" spans="1:27" ht="15.6" x14ac:dyDescent="0.3">
      <c r="A16" s="186" t="s">
        <v>32</v>
      </c>
      <c r="B16" s="189"/>
      <c r="C16" s="2"/>
      <c r="D16" s="2"/>
      <c r="E16" s="2"/>
      <c r="F16" s="223" t="s">
        <v>23</v>
      </c>
      <c r="G16" s="292">
        <v>1.1499999999999999</v>
      </c>
      <c r="H16" s="223"/>
      <c r="I16" s="2"/>
      <c r="J16" s="2"/>
      <c r="K16" s="2"/>
      <c r="L16" s="2"/>
      <c r="M16" s="2"/>
      <c r="N16" s="2"/>
      <c r="O16" s="2"/>
      <c r="P16" s="2"/>
      <c r="Q16" s="2"/>
      <c r="R16" s="2"/>
      <c r="S16" s="2"/>
      <c r="T16" s="2"/>
      <c r="U16" s="2"/>
      <c r="V16" s="2"/>
      <c r="W16" s="2"/>
      <c r="X16" s="2"/>
      <c r="Y16" s="2"/>
      <c r="Z16" s="2"/>
      <c r="AA16" s="2"/>
    </row>
    <row r="17" spans="1:27" ht="15.6" x14ac:dyDescent="0.3">
      <c r="A17" s="2"/>
      <c r="B17" s="2"/>
      <c r="C17" s="18"/>
      <c r="D17" s="18"/>
      <c r="E17" s="2"/>
      <c r="F17" s="226" t="s">
        <v>187</v>
      </c>
      <c r="G17" s="293">
        <f ca="1">SSP_CF!B16/'3.Intake Form'!G16</f>
        <v>239515.82608695654</v>
      </c>
      <c r="H17" s="226"/>
      <c r="I17" s="2"/>
      <c r="J17" s="2"/>
      <c r="K17" s="2"/>
      <c r="L17" s="2"/>
      <c r="M17" s="2"/>
      <c r="N17" s="2"/>
      <c r="O17" s="2"/>
      <c r="P17" s="2"/>
      <c r="Q17" s="2"/>
      <c r="R17" s="2"/>
      <c r="S17" s="2"/>
      <c r="T17" s="2"/>
      <c r="U17" s="2"/>
      <c r="V17" s="2"/>
      <c r="W17" s="2"/>
      <c r="X17" s="2"/>
      <c r="Y17" s="2"/>
      <c r="Z17" s="2"/>
      <c r="AA17" s="2"/>
    </row>
    <row r="18" spans="1:27" ht="15.6" x14ac:dyDescent="0.3">
      <c r="A18" s="427" t="s">
        <v>173</v>
      </c>
      <c r="B18" s="428"/>
      <c r="C18" s="257" t="s">
        <v>171</v>
      </c>
      <c r="D18" s="194"/>
      <c r="E18" s="2"/>
      <c r="F18" s="43"/>
      <c r="G18" s="43"/>
      <c r="H18" s="43"/>
      <c r="I18" s="2"/>
      <c r="J18" s="2"/>
      <c r="K18" s="2"/>
      <c r="L18" s="2"/>
      <c r="M18" s="2"/>
      <c r="N18" s="2"/>
      <c r="O18" s="2"/>
      <c r="P18" s="2"/>
      <c r="Q18" s="2"/>
      <c r="R18" s="2"/>
      <c r="S18" s="2"/>
      <c r="T18" s="2"/>
      <c r="U18" s="2"/>
      <c r="V18" s="2"/>
      <c r="W18" s="2"/>
      <c r="X18" s="2"/>
      <c r="Y18" s="2"/>
      <c r="Z18" s="2"/>
      <c r="AA18" s="2"/>
    </row>
    <row r="19" spans="1:27" ht="15.6" x14ac:dyDescent="0.3">
      <c r="A19" s="236" t="s">
        <v>38</v>
      </c>
      <c r="B19" s="210">
        <v>6850000</v>
      </c>
      <c r="C19" s="268">
        <f>B19/G27</f>
        <v>685000</v>
      </c>
      <c r="D19" s="195"/>
      <c r="E19" s="2"/>
      <c r="F19" s="431" t="s">
        <v>35</v>
      </c>
      <c r="G19" s="432"/>
      <c r="H19" s="276"/>
      <c r="I19" s="2"/>
      <c r="J19" s="2"/>
      <c r="K19" s="2"/>
      <c r="L19" s="2"/>
      <c r="M19" s="2"/>
      <c r="N19" s="2"/>
      <c r="O19" s="2"/>
      <c r="P19" s="2"/>
      <c r="Q19" s="2"/>
      <c r="R19" s="2"/>
      <c r="S19" s="2"/>
      <c r="T19" s="2"/>
      <c r="U19" s="2"/>
      <c r="V19" s="2"/>
      <c r="W19" s="2"/>
      <c r="X19" s="2"/>
      <c r="Y19" s="2"/>
      <c r="Z19" s="2"/>
      <c r="AA19" s="2"/>
    </row>
    <row r="20" spans="1:27" ht="15.6" x14ac:dyDescent="0.3">
      <c r="A20" s="237" t="s">
        <v>40</v>
      </c>
      <c r="B20" s="149">
        <f>B19*C20</f>
        <v>34250</v>
      </c>
      <c r="C20" s="269">
        <v>5.0000000000000001E-3</v>
      </c>
      <c r="D20" s="196"/>
      <c r="E20" s="2"/>
      <c r="F20" s="229" t="s">
        <v>37</v>
      </c>
      <c r="G20" s="285">
        <v>0.1</v>
      </c>
      <c r="H20" s="229"/>
      <c r="I20" s="2"/>
      <c r="J20" s="2"/>
      <c r="K20" s="2"/>
      <c r="L20" s="2"/>
      <c r="M20" s="2"/>
      <c r="N20" s="2"/>
      <c r="O20" s="2"/>
      <c r="P20" s="2"/>
      <c r="Q20" s="2"/>
      <c r="R20" s="2"/>
      <c r="S20" s="2"/>
      <c r="T20" s="2"/>
      <c r="U20" s="2"/>
      <c r="V20" s="2"/>
      <c r="W20" s="2"/>
      <c r="X20" s="2"/>
      <c r="Y20" s="2"/>
      <c r="Z20" s="2"/>
      <c r="AA20" s="2"/>
    </row>
    <row r="21" spans="1:27" ht="15.6" x14ac:dyDescent="0.3">
      <c r="A21" s="237" t="s">
        <v>42</v>
      </c>
      <c r="B21" s="149">
        <v>7000</v>
      </c>
      <c r="C21" s="258"/>
      <c r="D21" s="197"/>
      <c r="E21" s="2"/>
      <c r="F21" s="223" t="s">
        <v>39</v>
      </c>
      <c r="G21" s="225">
        <v>2.5000000000000001E-2</v>
      </c>
      <c r="H21" s="223"/>
      <c r="I21" s="2"/>
      <c r="J21" s="2"/>
      <c r="K21" s="2"/>
      <c r="L21" s="2"/>
      <c r="M21" s="2"/>
      <c r="N21" s="2"/>
      <c r="O21" s="2"/>
      <c r="P21" s="2"/>
      <c r="Q21" s="2"/>
      <c r="R21" s="2"/>
      <c r="S21" s="2"/>
      <c r="T21" s="2"/>
      <c r="U21" s="2"/>
      <c r="V21" s="2"/>
      <c r="W21" s="2"/>
      <c r="X21" s="2"/>
      <c r="Y21" s="2"/>
      <c r="Z21" s="2"/>
      <c r="AA21" s="2"/>
    </row>
    <row r="22" spans="1:27" ht="15.6" x14ac:dyDescent="0.3">
      <c r="A22" s="237" t="s">
        <v>45</v>
      </c>
      <c r="B22" s="149">
        <v>40000</v>
      </c>
      <c r="C22" s="258" t="s">
        <v>137</v>
      </c>
      <c r="D22" s="198"/>
      <c r="E22" s="2"/>
      <c r="F22" s="223" t="s">
        <v>41</v>
      </c>
      <c r="G22" s="225">
        <v>3.5000000000000003E-2</v>
      </c>
      <c r="H22" s="223"/>
      <c r="I22" s="2"/>
      <c r="J22" s="2"/>
      <c r="K22" s="2"/>
      <c r="L22" s="2"/>
      <c r="M22" s="2"/>
      <c r="N22" s="2"/>
      <c r="O22" s="2"/>
      <c r="P22" s="2"/>
      <c r="Q22" s="2"/>
      <c r="R22" s="2"/>
      <c r="S22" s="2"/>
      <c r="T22" s="2"/>
      <c r="U22" s="2"/>
      <c r="V22" s="2"/>
      <c r="W22" s="2"/>
      <c r="X22" s="2"/>
      <c r="Y22" s="2"/>
      <c r="Z22" s="2"/>
      <c r="AA22" s="2"/>
    </row>
    <row r="23" spans="1:27" ht="15.6" x14ac:dyDescent="0.3">
      <c r="A23" s="237" t="s">
        <v>48</v>
      </c>
      <c r="B23" s="149">
        <v>50000</v>
      </c>
      <c r="C23" s="261"/>
      <c r="D23" s="197"/>
      <c r="E23" s="2"/>
      <c r="F23" s="223" t="s">
        <v>43</v>
      </c>
      <c r="G23" s="286">
        <v>7500</v>
      </c>
      <c r="H23" s="294" t="s">
        <v>44</v>
      </c>
      <c r="I23" s="277" t="s">
        <v>137</v>
      </c>
      <c r="J23" s="2"/>
      <c r="K23" s="2"/>
      <c r="L23" s="2"/>
      <c r="M23" s="2"/>
      <c r="N23" s="2"/>
      <c r="O23" s="2"/>
      <c r="P23" s="2"/>
      <c r="Q23" s="2"/>
      <c r="R23" s="2"/>
      <c r="S23" s="2"/>
      <c r="T23" s="2"/>
      <c r="U23" s="2"/>
      <c r="V23" s="2"/>
      <c r="W23" s="2"/>
      <c r="X23" s="2"/>
      <c r="Y23" s="2"/>
      <c r="Z23" s="2"/>
      <c r="AA23" s="2"/>
    </row>
    <row r="24" spans="1:27" ht="15.6" x14ac:dyDescent="0.3">
      <c r="A24" s="259" t="s">
        <v>181</v>
      </c>
      <c r="B24" s="253">
        <f>SUM(B19:B23)</f>
        <v>6981250</v>
      </c>
      <c r="C24" s="197"/>
      <c r="D24" s="197"/>
      <c r="E24" s="2"/>
      <c r="F24" s="223" t="s">
        <v>47</v>
      </c>
      <c r="G24" s="287">
        <v>600</v>
      </c>
      <c r="H24" s="214"/>
      <c r="I24" s="2"/>
      <c r="J24" s="2"/>
      <c r="K24" s="2"/>
      <c r="L24" s="2"/>
      <c r="M24" s="2"/>
      <c r="N24" s="2"/>
      <c r="O24" s="2"/>
      <c r="P24" s="2"/>
      <c r="Q24" s="2"/>
      <c r="R24" s="2"/>
      <c r="S24" s="2"/>
      <c r="T24" s="2"/>
      <c r="U24" s="2"/>
      <c r="V24" s="2"/>
      <c r="W24" s="2"/>
      <c r="X24" s="2"/>
      <c r="Y24" s="2"/>
      <c r="Z24" s="2"/>
      <c r="AA24" s="2"/>
    </row>
    <row r="25" spans="1:27" ht="15.6" x14ac:dyDescent="0.3">
      <c r="A25" s="183"/>
      <c r="B25" s="184"/>
      <c r="C25" s="185"/>
      <c r="D25" s="185"/>
      <c r="E25" s="2"/>
      <c r="F25" s="223" t="s">
        <v>14</v>
      </c>
      <c r="G25" s="214">
        <f>B7</f>
        <v>8</v>
      </c>
      <c r="H25" s="214"/>
      <c r="I25" s="2"/>
      <c r="J25" s="2"/>
      <c r="K25" s="2"/>
      <c r="L25" s="2"/>
      <c r="M25" s="2"/>
      <c r="N25" s="2"/>
      <c r="O25" s="2"/>
      <c r="P25" s="2"/>
      <c r="Q25" s="2"/>
      <c r="R25" s="2"/>
      <c r="S25" s="2"/>
      <c r="T25" s="2"/>
      <c r="U25" s="2"/>
      <c r="V25" s="2"/>
      <c r="W25" s="2"/>
      <c r="X25" s="2"/>
      <c r="Y25" s="2"/>
      <c r="Z25" s="2"/>
      <c r="AA25" s="2"/>
    </row>
    <row r="26" spans="1:27" ht="15.6" x14ac:dyDescent="0.3">
      <c r="A26" s="242" t="s">
        <v>174</v>
      </c>
      <c r="B26" s="243"/>
      <c r="C26" s="244" t="s">
        <v>171</v>
      </c>
      <c r="D26" s="194"/>
      <c r="E26" s="2"/>
      <c r="F26" s="223" t="s">
        <v>15</v>
      </c>
      <c r="G26" s="214">
        <f>B8</f>
        <v>2</v>
      </c>
      <c r="H26" s="214"/>
      <c r="I26" s="2"/>
      <c r="J26" s="2"/>
      <c r="K26" s="2"/>
      <c r="L26" s="2"/>
      <c r="M26" s="2"/>
      <c r="N26" s="2"/>
      <c r="O26" s="2"/>
      <c r="P26" s="2"/>
      <c r="Q26" s="2"/>
      <c r="R26" s="2"/>
      <c r="S26" s="2"/>
      <c r="T26" s="2"/>
      <c r="U26" s="2"/>
      <c r="V26" s="2"/>
      <c r="W26" s="2"/>
      <c r="X26" s="2"/>
      <c r="Y26" s="2"/>
      <c r="Z26" s="2"/>
      <c r="AA26" s="2"/>
    </row>
    <row r="27" spans="1:27" ht="15.6" x14ac:dyDescent="0.3">
      <c r="A27" s="238" t="s">
        <v>53</v>
      </c>
      <c r="B27" s="218">
        <f>C27*(B7)</f>
        <v>800000</v>
      </c>
      <c r="C27" s="270">
        <v>100000</v>
      </c>
      <c r="D27" s="199"/>
      <c r="E27" s="2"/>
      <c r="F27" s="223" t="s">
        <v>50</v>
      </c>
      <c r="G27" s="214">
        <f>SUM(G25:G26)</f>
        <v>10</v>
      </c>
      <c r="H27" s="214"/>
      <c r="I27" s="2"/>
      <c r="J27" s="2"/>
      <c r="K27" s="2"/>
      <c r="L27" s="2"/>
      <c r="M27" s="2"/>
      <c r="N27" s="2"/>
      <c r="O27" s="2"/>
      <c r="P27" s="2"/>
      <c r="Q27" s="2"/>
      <c r="R27" s="2"/>
      <c r="S27" s="2"/>
      <c r="T27" s="2"/>
      <c r="U27" s="2"/>
      <c r="V27" s="2"/>
      <c r="W27" s="2"/>
      <c r="X27" s="2"/>
      <c r="Y27" s="2"/>
      <c r="Z27" s="2"/>
      <c r="AA27" s="2"/>
    </row>
    <row r="28" spans="1:27" ht="15.6" x14ac:dyDescent="0.3">
      <c r="A28" s="239" t="s">
        <v>54</v>
      </c>
      <c r="B28" s="219">
        <f>C28*500000</f>
        <v>0</v>
      </c>
      <c r="C28" s="271">
        <v>0</v>
      </c>
      <c r="D28" s="206" t="s">
        <v>166</v>
      </c>
      <c r="F28" s="226" t="s">
        <v>52</v>
      </c>
      <c r="G28" s="295">
        <v>0.2</v>
      </c>
      <c r="H28" s="226"/>
      <c r="I28" s="2"/>
      <c r="J28" s="2"/>
      <c r="K28" s="2"/>
      <c r="L28" s="2"/>
      <c r="M28" s="2"/>
      <c r="N28" s="2"/>
      <c r="O28" s="2"/>
      <c r="P28" s="2"/>
      <c r="Q28" s="2"/>
      <c r="R28" s="2"/>
      <c r="S28" s="2"/>
      <c r="T28" s="2"/>
      <c r="U28" s="2"/>
      <c r="V28" s="2"/>
      <c r="W28" s="2"/>
      <c r="X28" s="2"/>
      <c r="Y28" s="2"/>
      <c r="Z28" s="2"/>
      <c r="AA28" s="2"/>
    </row>
    <row r="29" spans="1:27" ht="15.6" x14ac:dyDescent="0.3">
      <c r="A29" s="240" t="s">
        <v>151</v>
      </c>
      <c r="B29" s="228">
        <v>0</v>
      </c>
      <c r="C29" s="272"/>
      <c r="D29" s="326"/>
      <c r="I29" s="2"/>
      <c r="J29" s="2"/>
      <c r="K29" s="2"/>
      <c r="L29" s="2"/>
      <c r="M29" s="2"/>
      <c r="N29" s="2"/>
      <c r="O29" s="2"/>
      <c r="P29" s="2"/>
      <c r="Q29" s="2"/>
      <c r="R29" s="2"/>
      <c r="S29" s="2"/>
      <c r="T29" s="2"/>
      <c r="U29" s="2"/>
      <c r="V29" s="2"/>
      <c r="W29" s="2"/>
      <c r="X29" s="2"/>
      <c r="Y29" s="2"/>
      <c r="Z29" s="2"/>
      <c r="AA29" s="2"/>
    </row>
    <row r="30" spans="1:27" ht="15.6" x14ac:dyDescent="0.3">
      <c r="A30" s="240" t="s">
        <v>57</v>
      </c>
      <c r="B30" s="220">
        <f>SUM(B27:B29)*C30</f>
        <v>120000</v>
      </c>
      <c r="C30" s="273">
        <v>0.15</v>
      </c>
      <c r="D30" s="327"/>
      <c r="J30" s="2"/>
      <c r="K30" s="2"/>
      <c r="L30" s="2"/>
      <c r="M30" s="2"/>
      <c r="N30" s="2"/>
      <c r="O30" s="2"/>
      <c r="P30" s="2"/>
      <c r="Q30" s="2"/>
      <c r="R30" s="2"/>
      <c r="S30" s="2"/>
      <c r="T30" s="2"/>
      <c r="U30" s="2"/>
      <c r="V30" s="2"/>
      <c r="W30" s="2"/>
      <c r="X30" s="2"/>
      <c r="Y30" s="2"/>
      <c r="Z30" s="2"/>
      <c r="AA30" s="2"/>
    </row>
    <row r="31" spans="1:27" ht="15.6" x14ac:dyDescent="0.3">
      <c r="A31" s="240" t="s">
        <v>55</v>
      </c>
      <c r="B31" s="220">
        <f>SUM(B27:B30)*C31</f>
        <v>165600</v>
      </c>
      <c r="C31" s="273">
        <v>0.18</v>
      </c>
      <c r="D31" s="206" t="s">
        <v>56</v>
      </c>
      <c r="J31" s="2"/>
      <c r="K31" s="2"/>
      <c r="L31" s="2"/>
      <c r="M31" s="2"/>
      <c r="N31" s="2"/>
      <c r="O31" s="2"/>
      <c r="P31" s="2"/>
      <c r="Q31" s="2"/>
      <c r="R31" s="2"/>
      <c r="S31" s="2"/>
      <c r="T31" s="2"/>
      <c r="U31" s="2"/>
      <c r="V31" s="2"/>
      <c r="W31" s="2"/>
      <c r="X31" s="2"/>
      <c r="Y31" s="2"/>
      <c r="Z31" s="2"/>
      <c r="AA31" s="2"/>
    </row>
    <row r="32" spans="1:27" ht="15.6" x14ac:dyDescent="0.3">
      <c r="A32" s="230" t="s">
        <v>58</v>
      </c>
      <c r="B32" s="221">
        <f>SUM(B27:B29)*C32</f>
        <v>32000</v>
      </c>
      <c r="C32" s="267">
        <v>0.04</v>
      </c>
      <c r="D32" s="206" t="s">
        <v>59</v>
      </c>
      <c r="J32" s="2"/>
      <c r="K32" s="2"/>
      <c r="L32" s="2"/>
      <c r="M32" s="2"/>
      <c r="N32" s="2"/>
      <c r="O32" s="2"/>
      <c r="P32" s="2"/>
      <c r="Q32" s="2"/>
      <c r="R32" s="2"/>
      <c r="S32" s="2"/>
      <c r="T32" s="2"/>
      <c r="U32" s="2"/>
      <c r="V32" s="2"/>
      <c r="W32" s="2"/>
      <c r="X32" s="2"/>
      <c r="Y32" s="2"/>
      <c r="Z32" s="2"/>
      <c r="AA32" s="2"/>
    </row>
    <row r="33" spans="1:27" ht="15.6" x14ac:dyDescent="0.3">
      <c r="A33" s="234" t="s">
        <v>182</v>
      </c>
      <c r="B33" s="253">
        <f>SUM(B27:B32)</f>
        <v>1117600</v>
      </c>
      <c r="C33" s="217"/>
      <c r="J33" s="2"/>
      <c r="K33" s="2"/>
      <c r="L33" s="2"/>
      <c r="M33" s="2"/>
      <c r="N33" s="2"/>
      <c r="O33" s="2"/>
      <c r="P33" s="2"/>
      <c r="Q33" s="2"/>
      <c r="R33" s="2"/>
      <c r="S33" s="2"/>
      <c r="T33" s="2"/>
      <c r="U33" s="2"/>
      <c r="V33" s="2"/>
      <c r="W33" s="2"/>
      <c r="X33" s="2"/>
      <c r="Y33" s="2"/>
      <c r="Z33" s="2"/>
      <c r="AA33" s="2"/>
    </row>
    <row r="34" spans="1:27" ht="15.6" x14ac:dyDescent="0.3">
      <c r="A34" s="122"/>
      <c r="B34" s="184"/>
      <c r="C34" s="185"/>
      <c r="D34" s="185"/>
      <c r="E34" s="2"/>
      <c r="H34" s="2"/>
      <c r="J34" s="2"/>
      <c r="K34" s="2"/>
      <c r="L34" s="2"/>
      <c r="M34" s="2"/>
      <c r="N34" s="2"/>
      <c r="O34" s="2"/>
      <c r="P34" s="2"/>
      <c r="Q34" s="2"/>
      <c r="R34" s="2"/>
      <c r="S34" s="2"/>
      <c r="T34" s="2"/>
      <c r="U34" s="2"/>
      <c r="V34" s="2"/>
      <c r="W34" s="2"/>
      <c r="X34" s="2"/>
      <c r="Y34" s="2"/>
      <c r="Z34" s="2"/>
      <c r="AA34" s="2"/>
    </row>
    <row r="35" spans="1:27" ht="15.6" x14ac:dyDescent="0.3">
      <c r="A35" s="245" t="s">
        <v>62</v>
      </c>
      <c r="B35" s="246"/>
      <c r="C35" s="247" t="s">
        <v>171</v>
      </c>
      <c r="D35" s="185"/>
      <c r="E35" s="2"/>
      <c r="H35" s="2"/>
      <c r="I35" s="2"/>
      <c r="J35" s="2"/>
      <c r="K35" s="2"/>
      <c r="L35" s="2"/>
      <c r="M35" s="2"/>
      <c r="N35" s="2"/>
      <c r="O35" s="2"/>
      <c r="P35" s="2"/>
      <c r="Q35" s="2"/>
      <c r="R35" s="2"/>
      <c r="S35" s="2"/>
      <c r="T35" s="2"/>
      <c r="U35" s="2"/>
      <c r="V35" s="2"/>
      <c r="W35" s="2"/>
      <c r="X35" s="2"/>
      <c r="Y35" s="2"/>
      <c r="Z35" s="2"/>
      <c r="AA35" s="2"/>
    </row>
    <row r="36" spans="1:27" ht="15.6" x14ac:dyDescent="0.3">
      <c r="A36" s="241" t="s">
        <v>63</v>
      </c>
      <c r="B36" s="149">
        <f>SUM(B27:B29)*C36</f>
        <v>28000.000000000004</v>
      </c>
      <c r="C36" s="262">
        <v>3.5000000000000003E-2</v>
      </c>
      <c r="D36" s="201"/>
      <c r="E36" s="2"/>
      <c r="H36" s="2"/>
      <c r="I36" s="2"/>
      <c r="J36" s="2"/>
      <c r="K36" s="2"/>
      <c r="L36" s="2"/>
      <c r="M36" s="2"/>
      <c r="N36" s="2"/>
      <c r="O36" s="2"/>
      <c r="P36" s="2"/>
      <c r="Q36" s="2"/>
      <c r="R36" s="2"/>
      <c r="S36" s="2"/>
      <c r="T36" s="2"/>
      <c r="U36" s="2"/>
      <c r="V36" s="2"/>
      <c r="W36" s="2"/>
      <c r="X36" s="2"/>
      <c r="Y36" s="2"/>
      <c r="Z36" s="2"/>
      <c r="AA36" s="2"/>
    </row>
    <row r="37" spans="1:27" ht="15.6" x14ac:dyDescent="0.3">
      <c r="A37" s="118" t="s">
        <v>64</v>
      </c>
      <c r="B37" s="149">
        <v>25500</v>
      </c>
      <c r="C37" s="152"/>
      <c r="D37" s="202"/>
      <c r="E37" s="2"/>
      <c r="H37" s="2"/>
      <c r="I37" s="2"/>
      <c r="J37" s="2"/>
      <c r="K37" s="2"/>
      <c r="L37" s="2"/>
      <c r="M37" s="2"/>
      <c r="N37" s="2"/>
      <c r="O37" s="2"/>
      <c r="P37" s="2"/>
      <c r="Q37" s="2"/>
      <c r="R37" s="2"/>
      <c r="S37" s="2"/>
      <c r="T37" s="2"/>
      <c r="U37" s="2"/>
      <c r="V37" s="2"/>
      <c r="W37" s="2"/>
      <c r="X37" s="2"/>
      <c r="Y37" s="2"/>
      <c r="Z37" s="2"/>
      <c r="AA37" s="2"/>
    </row>
    <row r="38" spans="1:27" ht="15.6" x14ac:dyDescent="0.3">
      <c r="A38" s="118" t="s">
        <v>65</v>
      </c>
      <c r="B38" s="180">
        <f>(C33*0.025)*B7</f>
        <v>0</v>
      </c>
      <c r="C38" s="265" t="s">
        <v>165</v>
      </c>
      <c r="D38" s="203"/>
      <c r="E38" s="2"/>
      <c r="H38" s="2"/>
      <c r="I38" s="2"/>
      <c r="J38" s="2"/>
      <c r="K38" s="2"/>
      <c r="L38" s="2"/>
      <c r="M38" s="2"/>
      <c r="N38" s="2"/>
      <c r="O38" s="2"/>
      <c r="P38" s="2"/>
      <c r="Q38" s="2"/>
      <c r="R38" s="2"/>
      <c r="S38" s="2"/>
      <c r="T38" s="2"/>
      <c r="U38" s="2"/>
      <c r="V38" s="2"/>
      <c r="W38" s="2"/>
      <c r="X38" s="2"/>
      <c r="Y38" s="2"/>
      <c r="Z38" s="2"/>
      <c r="AA38" s="2"/>
    </row>
    <row r="39" spans="1:27" ht="15.6" x14ac:dyDescent="0.3">
      <c r="A39" s="118" t="s">
        <v>66</v>
      </c>
      <c r="B39" s="222">
        <f>B19*C39</f>
        <v>80830</v>
      </c>
      <c r="C39" s="263">
        <v>1.18E-2</v>
      </c>
      <c r="D39" s="204"/>
      <c r="E39" s="2"/>
      <c r="H39" s="2"/>
      <c r="I39" s="2"/>
      <c r="J39" s="2"/>
      <c r="K39" s="2"/>
      <c r="L39" s="2"/>
      <c r="M39" s="2"/>
      <c r="N39" s="2"/>
      <c r="O39" s="2"/>
      <c r="P39" s="2"/>
      <c r="Q39" s="2"/>
      <c r="R39" s="2"/>
      <c r="S39" s="2"/>
      <c r="T39" s="2"/>
      <c r="U39" s="2"/>
      <c r="V39" s="2"/>
      <c r="W39" s="2"/>
      <c r="X39" s="2"/>
      <c r="Y39" s="2"/>
      <c r="Z39" s="2"/>
      <c r="AA39" s="2"/>
    </row>
    <row r="40" spans="1:27" ht="15.6" x14ac:dyDescent="0.3">
      <c r="A40" s="118" t="s">
        <v>130</v>
      </c>
      <c r="B40" s="222">
        <f>C40*B7</f>
        <v>12000</v>
      </c>
      <c r="C40" s="266">
        <v>1500</v>
      </c>
      <c r="D40" s="205"/>
      <c r="E40" s="2"/>
      <c r="F40" s="2"/>
      <c r="G40" s="2"/>
      <c r="H40" s="2"/>
      <c r="I40" s="2"/>
      <c r="J40" s="2"/>
      <c r="K40" s="2"/>
      <c r="L40" s="2"/>
      <c r="M40" s="2"/>
      <c r="N40" s="2"/>
      <c r="O40" s="2"/>
      <c r="P40" s="2"/>
      <c r="Q40" s="2"/>
      <c r="R40" s="2"/>
      <c r="S40" s="2"/>
      <c r="T40" s="2"/>
      <c r="U40" s="2"/>
      <c r="V40" s="2"/>
      <c r="W40" s="2"/>
      <c r="X40" s="2"/>
      <c r="Y40" s="2"/>
      <c r="Z40" s="2"/>
      <c r="AA40" s="2"/>
    </row>
    <row r="41" spans="1:27" ht="15.6" x14ac:dyDescent="0.3">
      <c r="A41" s="118" t="s">
        <v>67</v>
      </c>
      <c r="B41" s="227"/>
      <c r="C41" s="152"/>
      <c r="D41" s="202"/>
      <c r="E41" s="182"/>
      <c r="F41" s="2"/>
      <c r="G41" s="2"/>
      <c r="H41" s="2"/>
      <c r="I41" s="2"/>
      <c r="J41" s="2"/>
      <c r="K41" s="2"/>
      <c r="L41" s="2"/>
      <c r="M41" s="2"/>
      <c r="N41" s="2"/>
      <c r="O41" s="2"/>
      <c r="P41" s="2"/>
      <c r="Q41" s="2"/>
      <c r="R41" s="2"/>
      <c r="S41" s="2"/>
      <c r="T41" s="2"/>
      <c r="U41" s="2"/>
      <c r="V41" s="2"/>
      <c r="W41" s="2"/>
      <c r="X41" s="2"/>
      <c r="Y41" s="2"/>
      <c r="Z41" s="2"/>
      <c r="AA41" s="2"/>
    </row>
    <row r="42" spans="1:27" ht="15.6" x14ac:dyDescent="0.3">
      <c r="A42" s="118" t="s">
        <v>68</v>
      </c>
      <c r="B42" s="149">
        <f>SUM(B36:B41)*C42</f>
        <v>21949.5</v>
      </c>
      <c r="C42" s="267">
        <v>0.15</v>
      </c>
      <c r="D42" s="200"/>
      <c r="E42" s="40" t="s">
        <v>137</v>
      </c>
      <c r="F42" s="2"/>
      <c r="G42" s="2"/>
      <c r="H42" s="2"/>
      <c r="I42" s="2"/>
      <c r="J42" s="2"/>
      <c r="K42" s="2"/>
      <c r="L42" s="2"/>
      <c r="M42" s="2"/>
      <c r="N42" s="2"/>
      <c r="O42" s="2"/>
      <c r="P42" s="2"/>
      <c r="Q42" s="2"/>
      <c r="R42" s="2"/>
      <c r="S42" s="2"/>
      <c r="T42" s="2"/>
      <c r="U42" s="2"/>
      <c r="V42" s="2"/>
      <c r="W42" s="2"/>
      <c r="X42" s="2"/>
      <c r="Y42" s="2"/>
      <c r="Z42" s="2"/>
      <c r="AA42" s="2"/>
    </row>
    <row r="43" spans="1:27" ht="15.6" x14ac:dyDescent="0.3">
      <c r="A43" s="235" t="s">
        <v>69</v>
      </c>
      <c r="B43" s="253">
        <f>SUM(B36:B42)</f>
        <v>168279.5</v>
      </c>
      <c r="C43" s="202"/>
      <c r="D43" s="202"/>
      <c r="E43" s="2"/>
      <c r="F43" s="2"/>
      <c r="G43" s="2"/>
      <c r="H43" s="2"/>
      <c r="I43" s="2"/>
      <c r="J43" s="2"/>
      <c r="K43" s="2"/>
      <c r="L43" s="2"/>
      <c r="M43" s="2"/>
      <c r="N43" s="2"/>
      <c r="O43" s="2"/>
      <c r="P43" s="2"/>
      <c r="Q43" s="2"/>
      <c r="R43" s="2"/>
      <c r="S43" s="2"/>
      <c r="T43" s="2"/>
      <c r="U43" s="2"/>
      <c r="V43" s="2"/>
      <c r="W43" s="2"/>
      <c r="X43" s="2"/>
      <c r="Y43" s="2"/>
      <c r="Z43" s="2"/>
      <c r="AA43" s="2"/>
    </row>
    <row r="44" spans="1:27" ht="15.6" x14ac:dyDescent="0.3">
      <c r="A44" s="202"/>
      <c r="B44" s="149"/>
      <c r="C44" s="202"/>
      <c r="D44" s="202"/>
      <c r="E44" s="2"/>
      <c r="F44" s="2"/>
      <c r="G44" s="2"/>
      <c r="H44" s="2"/>
      <c r="I44" s="2"/>
      <c r="J44" s="2"/>
      <c r="K44" s="2"/>
      <c r="L44" s="2"/>
      <c r="M44" s="2"/>
      <c r="N44" s="2"/>
      <c r="O44" s="2"/>
      <c r="P44" s="2"/>
      <c r="Q44" s="2"/>
      <c r="R44" s="2"/>
      <c r="S44" s="2"/>
      <c r="T44" s="2"/>
      <c r="U44" s="2"/>
      <c r="V44" s="2"/>
      <c r="W44" s="2"/>
      <c r="X44" s="2"/>
      <c r="Y44" s="2"/>
      <c r="Z44" s="2"/>
      <c r="AA44" s="2"/>
    </row>
    <row r="45" spans="1:27" ht="15.6" x14ac:dyDescent="0.3">
      <c r="A45" s="248" t="s">
        <v>172</v>
      </c>
      <c r="B45" s="249"/>
      <c r="C45" s="247" t="s">
        <v>171</v>
      </c>
      <c r="D45" s="202"/>
      <c r="E45" s="2"/>
      <c r="F45" s="2"/>
      <c r="G45" s="2"/>
      <c r="H45" s="2"/>
      <c r="I45" s="2"/>
      <c r="J45" s="2"/>
      <c r="K45" s="2"/>
      <c r="L45" s="2"/>
      <c r="M45" s="2"/>
      <c r="N45" s="2"/>
      <c r="O45" s="2"/>
      <c r="P45" s="2"/>
      <c r="Q45" s="2"/>
      <c r="R45" s="2"/>
      <c r="S45" s="2"/>
      <c r="T45" s="2"/>
      <c r="U45" s="2"/>
      <c r="V45" s="2"/>
      <c r="W45" s="2"/>
      <c r="X45" s="2"/>
      <c r="Y45" s="2"/>
      <c r="Z45" s="2"/>
      <c r="AA45" s="2"/>
    </row>
    <row r="46" spans="1:27" ht="15.6" x14ac:dyDescent="0.3">
      <c r="A46" s="229" t="s">
        <v>176</v>
      </c>
      <c r="B46" s="149">
        <f ca="1">($G$5-$B$47)*$C$46</f>
        <v>104449.66905492138</v>
      </c>
      <c r="C46" s="262">
        <v>1.2500000000000001E-2</v>
      </c>
      <c r="D46" s="204"/>
      <c r="E46" s="2"/>
      <c r="F46" s="2"/>
      <c r="G46" s="2"/>
      <c r="H46" s="2"/>
      <c r="I46" s="2"/>
      <c r="J46" s="2"/>
      <c r="K46" s="2"/>
      <c r="L46" s="2"/>
      <c r="M46" s="2"/>
      <c r="N46" s="2"/>
      <c r="O46" s="2"/>
      <c r="P46" s="2"/>
      <c r="Q46" s="2"/>
      <c r="R46" s="2"/>
      <c r="S46" s="2"/>
      <c r="T46" s="2"/>
      <c r="U46" s="2"/>
      <c r="V46" s="2"/>
      <c r="W46" s="2"/>
      <c r="X46" s="2"/>
      <c r="Y46" s="2"/>
      <c r="Z46" s="2"/>
      <c r="AA46" s="2"/>
    </row>
    <row r="47" spans="1:27" ht="15.6" x14ac:dyDescent="0.3">
      <c r="A47" s="223" t="s">
        <v>175</v>
      </c>
      <c r="B47" s="149">
        <f ca="1">$G$5*$H$5</f>
        <v>393736.97235363035</v>
      </c>
      <c r="C47" s="263">
        <f>H5</f>
        <v>4.4999999999999998E-2</v>
      </c>
      <c r="D47" s="202"/>
      <c r="E47" s="2"/>
      <c r="F47" s="2"/>
      <c r="G47" s="2"/>
      <c r="H47" s="2"/>
      <c r="I47" s="2"/>
      <c r="J47" s="2"/>
      <c r="K47" s="2"/>
      <c r="L47" s="2"/>
      <c r="M47" s="2"/>
      <c r="N47" s="2"/>
      <c r="O47" s="2"/>
      <c r="P47" s="2"/>
      <c r="Q47" s="2"/>
      <c r="R47" s="2"/>
      <c r="S47" s="2"/>
      <c r="T47" s="2"/>
      <c r="U47" s="2"/>
      <c r="V47" s="2"/>
      <c r="W47" s="2"/>
      <c r="X47" s="2"/>
      <c r="Y47" s="2"/>
      <c r="Z47" s="2"/>
      <c r="AA47" s="2"/>
    </row>
    <row r="48" spans="1:27" ht="15.6" x14ac:dyDescent="0.3">
      <c r="A48" s="226" t="s">
        <v>189</v>
      </c>
      <c r="B48" s="149">
        <f ca="1">$G$10*$C$48</f>
        <v>57959.875680571749</v>
      </c>
      <c r="C48" s="264">
        <v>1.2500000000000001E-2</v>
      </c>
      <c r="D48" s="202"/>
      <c r="E48" s="2"/>
      <c r="F48" s="2"/>
      <c r="G48" s="2"/>
      <c r="H48" s="2"/>
      <c r="I48" s="2"/>
      <c r="J48" s="2"/>
      <c r="K48" s="2"/>
      <c r="L48" s="2"/>
      <c r="M48" s="2"/>
      <c r="N48" s="2"/>
      <c r="O48" s="2"/>
      <c r="P48" s="2"/>
      <c r="Q48" s="2"/>
      <c r="R48" s="2"/>
      <c r="S48" s="2"/>
      <c r="T48" s="2"/>
      <c r="U48" s="2"/>
      <c r="V48" s="2"/>
      <c r="W48" s="2"/>
      <c r="X48" s="2"/>
      <c r="Y48" s="2"/>
      <c r="Z48" s="2"/>
      <c r="AA48" s="2"/>
    </row>
    <row r="49" spans="1:27" ht="15.6" x14ac:dyDescent="0.3">
      <c r="A49" s="234" t="s">
        <v>184</v>
      </c>
      <c r="B49" s="253">
        <f ca="1">SUM(B46:B48)</f>
        <v>556146.51708912349</v>
      </c>
      <c r="C49" s="202"/>
      <c r="D49" s="40"/>
      <c r="E49" s="2"/>
      <c r="F49" s="2"/>
      <c r="G49" s="2"/>
      <c r="H49" s="2"/>
      <c r="I49" s="2"/>
      <c r="J49" s="2"/>
      <c r="K49" s="2"/>
      <c r="L49" s="2"/>
      <c r="M49" s="2"/>
      <c r="N49" s="2"/>
      <c r="O49" s="2"/>
      <c r="P49" s="2"/>
      <c r="Q49" s="2"/>
      <c r="R49" s="2"/>
      <c r="S49" s="2"/>
      <c r="T49" s="2"/>
      <c r="U49" s="2"/>
      <c r="V49" s="2"/>
      <c r="W49" s="2"/>
      <c r="X49" s="2"/>
      <c r="Y49" s="2"/>
      <c r="Z49" s="2"/>
      <c r="AA49" s="2"/>
    </row>
    <row r="50" spans="1:27" ht="15.6" x14ac:dyDescent="0.3">
      <c r="A50" s="41"/>
      <c r="B50" s="2"/>
      <c r="C50" s="40"/>
      <c r="D50" s="202"/>
      <c r="E50" s="42"/>
      <c r="F50" s="2"/>
      <c r="G50" s="2"/>
      <c r="H50" s="2"/>
      <c r="I50" s="2"/>
      <c r="J50" s="2"/>
      <c r="K50" s="2"/>
      <c r="L50" s="2"/>
      <c r="M50" s="2"/>
      <c r="N50" s="2"/>
      <c r="O50" s="2"/>
      <c r="P50" s="2"/>
      <c r="Q50" s="2"/>
      <c r="R50" s="2"/>
      <c r="S50" s="2"/>
      <c r="T50" s="2"/>
      <c r="U50" s="2"/>
      <c r="V50" s="2"/>
      <c r="W50" s="2"/>
      <c r="X50" s="2"/>
      <c r="Y50" s="2"/>
      <c r="Z50" s="2"/>
      <c r="AA50" s="2"/>
    </row>
    <row r="51" spans="1:27" ht="15.6" x14ac:dyDescent="0.3">
      <c r="A51" s="245" t="s">
        <v>73</v>
      </c>
      <c r="B51" s="250"/>
      <c r="C51" s="247" t="s">
        <v>171</v>
      </c>
      <c r="D51" s="206"/>
      <c r="E51" s="2"/>
      <c r="F51" s="2"/>
      <c r="G51" s="2"/>
      <c r="H51" s="2"/>
      <c r="I51" s="2"/>
      <c r="J51" s="2"/>
      <c r="K51" s="2"/>
      <c r="L51" s="2"/>
      <c r="M51" s="2"/>
      <c r="N51" s="2"/>
      <c r="O51" s="2"/>
      <c r="P51" s="2"/>
      <c r="Q51" s="2"/>
      <c r="R51" s="2"/>
      <c r="S51" s="2"/>
      <c r="T51" s="2"/>
      <c r="U51" s="2"/>
      <c r="V51" s="2"/>
      <c r="W51" s="2"/>
      <c r="X51" s="2"/>
      <c r="Y51" s="2"/>
      <c r="Z51" s="2"/>
      <c r="AA51" s="2"/>
    </row>
    <row r="52" spans="1:27" ht="15.6" x14ac:dyDescent="0.3">
      <c r="A52" s="111" t="s">
        <v>74</v>
      </c>
      <c r="B52" s="180">
        <f>B7*C52</f>
        <v>80000</v>
      </c>
      <c r="C52" s="260">
        <v>10000</v>
      </c>
      <c r="D52" s="203"/>
      <c r="E52" s="2"/>
      <c r="F52" s="2"/>
      <c r="G52" s="2"/>
      <c r="H52" s="2"/>
      <c r="I52" s="2"/>
      <c r="J52" s="2"/>
      <c r="K52" s="2"/>
      <c r="L52" s="2"/>
      <c r="M52" s="2"/>
      <c r="N52" s="2"/>
      <c r="O52" s="2"/>
      <c r="P52" s="2"/>
      <c r="Q52" s="2"/>
      <c r="R52" s="2"/>
      <c r="S52" s="2"/>
      <c r="T52" s="2"/>
      <c r="U52" s="2"/>
      <c r="V52" s="2"/>
      <c r="W52" s="2"/>
      <c r="X52" s="2"/>
      <c r="Y52" s="2"/>
      <c r="Z52" s="2"/>
      <c r="AA52" s="2"/>
    </row>
    <row r="53" spans="1:27" ht="15.6" x14ac:dyDescent="0.3">
      <c r="A53" s="128" t="s">
        <v>76</v>
      </c>
      <c r="B53" s="180">
        <f ca="1">(SSP_CF!B13+SSP_CF!B17)*0.25</f>
        <v>74878.956521739135</v>
      </c>
      <c r="C53" s="261" t="s">
        <v>186</v>
      </c>
      <c r="D53" s="202"/>
      <c r="E53" s="2"/>
      <c r="F53" s="2"/>
      <c r="G53" s="2"/>
      <c r="H53" s="2"/>
      <c r="I53" s="2"/>
      <c r="J53" s="2"/>
      <c r="K53" s="2"/>
      <c r="L53" s="2"/>
      <c r="M53" s="2"/>
      <c r="N53" s="2"/>
      <c r="O53" s="2"/>
      <c r="P53" s="2"/>
      <c r="Q53" s="2"/>
      <c r="R53" s="2"/>
      <c r="S53" s="2"/>
      <c r="T53" s="2"/>
      <c r="U53" s="2"/>
      <c r="V53" s="2"/>
      <c r="W53" s="2"/>
      <c r="X53" s="2"/>
      <c r="Y53" s="2"/>
      <c r="Z53" s="2"/>
      <c r="AA53" s="2"/>
    </row>
    <row r="54" spans="1:27" ht="15.6" x14ac:dyDescent="0.3">
      <c r="A54" s="234" t="s">
        <v>77</v>
      </c>
      <c r="B54" s="154">
        <f ca="1">SUM(B52:B53)</f>
        <v>154878.95652173914</v>
      </c>
      <c r="C54" s="202"/>
      <c r="D54" s="40"/>
      <c r="E54" s="43"/>
      <c r="F54" s="2"/>
      <c r="G54" s="2"/>
      <c r="H54" s="40"/>
      <c r="I54" s="2"/>
      <c r="J54" s="2"/>
      <c r="K54" s="2"/>
      <c r="L54" s="2"/>
      <c r="M54" s="2"/>
      <c r="N54" s="2"/>
      <c r="O54" s="2"/>
      <c r="P54" s="2"/>
      <c r="Q54" s="2"/>
      <c r="R54" s="2"/>
      <c r="S54" s="2"/>
      <c r="T54" s="2"/>
      <c r="U54" s="2"/>
      <c r="V54" s="2"/>
      <c r="W54" s="2"/>
      <c r="X54" s="2"/>
      <c r="Y54" s="2"/>
      <c r="Z54" s="2"/>
      <c r="AA54" s="2"/>
    </row>
    <row r="55" spans="1:27" ht="15.6" x14ac:dyDescent="0.3">
      <c r="A55" s="231"/>
      <c r="B55" s="149"/>
      <c r="C55" s="202"/>
      <c r="D55" s="40"/>
      <c r="E55" s="43"/>
      <c r="F55" s="2"/>
      <c r="G55" s="2"/>
      <c r="H55" s="40"/>
      <c r="I55" s="2"/>
      <c r="J55" s="2"/>
      <c r="K55" s="2"/>
      <c r="L55" s="2"/>
      <c r="M55" s="2"/>
      <c r="N55" s="2"/>
      <c r="O55" s="2"/>
      <c r="P55" s="2"/>
      <c r="Q55" s="2"/>
      <c r="R55" s="2"/>
      <c r="S55" s="2"/>
      <c r="T55" s="2"/>
      <c r="U55" s="2"/>
      <c r="V55" s="2"/>
      <c r="W55" s="2"/>
      <c r="X55" s="2"/>
      <c r="Y55" s="2"/>
      <c r="Z55" s="2"/>
      <c r="AA55" s="2"/>
    </row>
    <row r="56" spans="1:27" ht="15.6" x14ac:dyDescent="0.3">
      <c r="A56" s="251" t="s">
        <v>177</v>
      </c>
      <c r="B56" s="252"/>
      <c r="C56" s="244" t="s">
        <v>171</v>
      </c>
      <c r="D56" s="182"/>
      <c r="E56" s="42"/>
      <c r="F56" s="2"/>
      <c r="G56" s="2"/>
      <c r="H56" s="40"/>
      <c r="I56" s="2"/>
      <c r="J56" s="2"/>
      <c r="K56" s="2"/>
      <c r="L56" s="2"/>
      <c r="M56" s="2"/>
      <c r="N56" s="2"/>
      <c r="O56" s="2"/>
      <c r="P56" s="2"/>
      <c r="Q56" s="2"/>
      <c r="R56" s="2"/>
      <c r="S56" s="2"/>
      <c r="T56" s="2"/>
      <c r="U56" s="2"/>
      <c r="V56" s="2"/>
      <c r="W56" s="2"/>
      <c r="X56" s="2"/>
      <c r="Y56" s="2"/>
      <c r="Z56" s="2"/>
      <c r="AA56" s="2"/>
    </row>
    <row r="57" spans="1:27" ht="15.6" x14ac:dyDescent="0.3">
      <c r="A57" s="211" t="s">
        <v>178</v>
      </c>
      <c r="B57" s="218">
        <v>105000</v>
      </c>
      <c r="C57" s="151" t="s">
        <v>137</v>
      </c>
      <c r="D57" s="182" t="s">
        <v>79</v>
      </c>
      <c r="F57" s="2"/>
      <c r="G57" s="2"/>
      <c r="H57" s="40"/>
      <c r="I57" s="2"/>
      <c r="J57" s="2"/>
      <c r="K57" s="2"/>
      <c r="L57" s="2"/>
      <c r="M57" s="2"/>
      <c r="N57" s="2"/>
      <c r="O57" s="2"/>
      <c r="P57" s="2"/>
      <c r="Q57" s="2"/>
      <c r="R57" s="2"/>
      <c r="S57" s="2"/>
      <c r="T57" s="2"/>
      <c r="U57" s="2"/>
      <c r="V57" s="2"/>
      <c r="W57" s="2"/>
      <c r="X57" s="2"/>
      <c r="Y57" s="2"/>
      <c r="Z57" s="2"/>
      <c r="AA57" s="2"/>
    </row>
    <row r="58" spans="1:27" ht="15.6" x14ac:dyDescent="0.3">
      <c r="A58" s="211" t="s">
        <v>179</v>
      </c>
      <c r="B58" s="220">
        <f>SUM(B7:B8)*C58</f>
        <v>100000</v>
      </c>
      <c r="C58" s="255">
        <v>10000</v>
      </c>
      <c r="D58" s="182" t="s">
        <v>80</v>
      </c>
      <c r="F58" s="2"/>
      <c r="G58" s="2"/>
      <c r="H58" s="40"/>
      <c r="I58" s="2"/>
      <c r="J58" s="2"/>
      <c r="K58" s="2"/>
      <c r="L58" s="2"/>
      <c r="M58" s="2"/>
      <c r="N58" s="2"/>
      <c r="O58" s="2"/>
      <c r="P58" s="2"/>
      <c r="Q58" s="2"/>
      <c r="R58" s="2"/>
      <c r="S58" s="2"/>
      <c r="T58" s="2"/>
      <c r="U58" s="2"/>
      <c r="V58" s="2"/>
      <c r="W58" s="2"/>
      <c r="X58" s="2"/>
      <c r="Y58" s="2"/>
      <c r="Z58" s="2"/>
      <c r="AA58" s="2"/>
    </row>
    <row r="59" spans="1:27" ht="15.6" x14ac:dyDescent="0.3">
      <c r="A59" s="212" t="s">
        <v>180</v>
      </c>
      <c r="B59" s="254">
        <v>0</v>
      </c>
      <c r="C59" s="256">
        <v>25000</v>
      </c>
      <c r="D59" s="182" t="s">
        <v>129</v>
      </c>
      <c r="F59" s="2"/>
      <c r="G59" s="2"/>
      <c r="H59" s="40"/>
      <c r="I59" s="2"/>
      <c r="J59" s="2"/>
      <c r="K59" s="2"/>
      <c r="L59" s="2"/>
      <c r="M59" s="2"/>
      <c r="N59" s="2"/>
      <c r="O59" s="2"/>
      <c r="P59" s="2"/>
      <c r="Q59" s="2"/>
      <c r="R59" s="2"/>
      <c r="S59" s="2"/>
      <c r="T59" s="2"/>
      <c r="U59" s="2"/>
      <c r="V59" s="2"/>
      <c r="W59" s="2"/>
      <c r="X59" s="2"/>
      <c r="Y59" s="2"/>
      <c r="Z59" s="2"/>
      <c r="AA59" s="2"/>
    </row>
    <row r="60" spans="1:27" ht="15.6" x14ac:dyDescent="0.3">
      <c r="A60" s="234" t="s">
        <v>185</v>
      </c>
      <c r="B60" s="253">
        <f>SUM(B57:B59)</f>
        <v>205000</v>
      </c>
      <c r="C60" s="232"/>
      <c r="D60" s="233"/>
      <c r="F60" s="2"/>
      <c r="G60" s="2"/>
      <c r="H60" s="40"/>
      <c r="I60" s="2"/>
      <c r="J60" s="2"/>
      <c r="K60" s="2"/>
      <c r="L60" s="2"/>
      <c r="M60" s="2"/>
      <c r="N60" s="2"/>
      <c r="O60" s="2"/>
      <c r="P60" s="2"/>
      <c r="Q60" s="2"/>
      <c r="R60" s="2"/>
      <c r="S60" s="2"/>
      <c r="T60" s="2"/>
      <c r="U60" s="2"/>
      <c r="V60" s="2"/>
      <c r="W60" s="2"/>
      <c r="X60" s="2"/>
      <c r="Y60" s="2"/>
      <c r="Z60" s="2"/>
      <c r="AA60" s="2"/>
    </row>
    <row r="61" spans="1:27" ht="15.6" x14ac:dyDescent="0.3">
      <c r="A61" s="41"/>
      <c r="B61" s="2"/>
      <c r="C61" s="40"/>
      <c r="D61" s="185"/>
      <c r="E61" s="42"/>
      <c r="F61" s="2"/>
      <c r="G61" s="2"/>
      <c r="H61" s="40"/>
      <c r="I61" s="2"/>
      <c r="J61" s="2"/>
      <c r="K61" s="2"/>
      <c r="L61" s="2"/>
      <c r="M61" s="2"/>
      <c r="N61" s="2"/>
      <c r="O61" s="2"/>
      <c r="P61" s="2"/>
      <c r="Q61" s="2"/>
      <c r="R61" s="2"/>
      <c r="S61" s="2"/>
      <c r="T61" s="2"/>
      <c r="U61" s="2"/>
      <c r="V61" s="2"/>
      <c r="W61" s="2"/>
      <c r="X61" s="2"/>
      <c r="Y61" s="2"/>
      <c r="Z61" s="2"/>
      <c r="AA61" s="2"/>
    </row>
    <row r="62" spans="1:27" ht="15.6" x14ac:dyDescent="0.3">
      <c r="A62" s="245" t="s">
        <v>81</v>
      </c>
      <c r="B62" s="299"/>
      <c r="C62" s="244" t="s">
        <v>171</v>
      </c>
      <c r="D62" s="185"/>
      <c r="E62" s="2"/>
      <c r="F62" s="2"/>
      <c r="G62" s="2"/>
      <c r="H62" s="40"/>
      <c r="I62" s="2"/>
      <c r="J62" s="2"/>
      <c r="K62" s="2"/>
      <c r="L62" s="2"/>
      <c r="M62" s="2"/>
      <c r="N62" s="2"/>
      <c r="O62" s="2"/>
      <c r="P62" s="2"/>
      <c r="Q62" s="2"/>
      <c r="R62" s="2"/>
      <c r="S62" s="2"/>
      <c r="T62" s="2"/>
      <c r="U62" s="2"/>
      <c r="V62" s="2"/>
      <c r="W62" s="2"/>
      <c r="X62" s="2"/>
      <c r="Y62" s="2"/>
      <c r="Z62" s="2"/>
      <c r="AA62" s="2"/>
    </row>
    <row r="63" spans="1:27" ht="15.6" x14ac:dyDescent="0.3">
      <c r="A63" s="308" t="s">
        <v>82</v>
      </c>
      <c r="B63" s="177">
        <f>C63*(B7+B8)*0</f>
        <v>0</v>
      </c>
      <c r="C63" s="270">
        <v>20000</v>
      </c>
      <c r="D63" s="185"/>
      <c r="E63" s="2"/>
      <c r="F63" s="2"/>
      <c r="G63" s="2"/>
      <c r="H63" s="40"/>
      <c r="I63" s="2"/>
      <c r="J63" s="2"/>
      <c r="K63" s="2"/>
      <c r="L63" s="2"/>
      <c r="M63" s="2"/>
      <c r="N63" s="2"/>
      <c r="O63" s="2"/>
      <c r="P63" s="2"/>
      <c r="Q63" s="2"/>
      <c r="R63" s="2"/>
      <c r="S63" s="2"/>
      <c r="T63" s="2"/>
      <c r="U63" s="2"/>
      <c r="V63" s="2"/>
      <c r="W63" s="2"/>
      <c r="X63" s="2"/>
      <c r="Y63" s="2"/>
      <c r="Z63" s="2"/>
      <c r="AA63" s="2"/>
    </row>
    <row r="64" spans="1:27" ht="15.6" x14ac:dyDescent="0.3">
      <c r="A64" s="309" t="s">
        <v>131</v>
      </c>
      <c r="B64" s="112">
        <v>0</v>
      </c>
      <c r="C64" s="304"/>
      <c r="D64" s="185"/>
      <c r="E64" s="2"/>
      <c r="F64" s="2"/>
      <c r="G64" s="2"/>
      <c r="H64" s="40"/>
      <c r="I64" s="2"/>
      <c r="J64" s="2"/>
      <c r="K64" s="2"/>
      <c r="L64" s="2"/>
      <c r="M64" s="2"/>
      <c r="N64" s="2"/>
      <c r="O64" s="2"/>
      <c r="P64" s="2"/>
      <c r="Q64" s="2"/>
      <c r="R64" s="2"/>
      <c r="S64" s="2"/>
      <c r="T64" s="2"/>
      <c r="U64" s="2"/>
      <c r="V64" s="2"/>
      <c r="W64" s="2"/>
      <c r="X64" s="2"/>
      <c r="Y64" s="2"/>
      <c r="Z64" s="2"/>
      <c r="AA64" s="2"/>
    </row>
    <row r="65" spans="1:27" ht="15.6" x14ac:dyDescent="0.3">
      <c r="A65" s="302"/>
      <c r="B65" s="112">
        <v>0</v>
      </c>
      <c r="C65" s="304"/>
      <c r="D65" s="185"/>
      <c r="E65" s="2"/>
      <c r="F65" s="2"/>
      <c r="G65" s="2"/>
      <c r="H65" s="40"/>
      <c r="I65" s="2"/>
      <c r="J65" s="2"/>
      <c r="K65" s="2"/>
      <c r="L65" s="2"/>
      <c r="M65" s="2"/>
      <c r="N65" s="2"/>
      <c r="O65" s="2"/>
      <c r="P65" s="2"/>
      <c r="Q65" s="2"/>
      <c r="R65" s="2"/>
      <c r="S65" s="2"/>
      <c r="T65" s="2"/>
      <c r="U65" s="2"/>
      <c r="V65" s="2"/>
      <c r="W65" s="2"/>
      <c r="X65" s="2"/>
      <c r="Y65" s="2"/>
      <c r="Z65" s="2"/>
      <c r="AA65" s="2"/>
    </row>
    <row r="66" spans="1:27" ht="15.6" x14ac:dyDescent="0.3">
      <c r="A66" s="302"/>
      <c r="B66" s="112">
        <v>0</v>
      </c>
      <c r="C66" s="304"/>
      <c r="D66" s="185"/>
      <c r="E66" s="2"/>
      <c r="F66" s="2"/>
      <c r="G66" s="2"/>
      <c r="H66" s="40"/>
      <c r="I66" s="2"/>
      <c r="J66" s="2"/>
      <c r="K66" s="2"/>
      <c r="L66" s="2"/>
      <c r="M66" s="2"/>
      <c r="N66" s="2"/>
      <c r="O66" s="2"/>
      <c r="P66" s="2"/>
      <c r="Q66" s="2"/>
      <c r="R66" s="2"/>
      <c r="S66" s="2"/>
      <c r="T66" s="2"/>
      <c r="U66" s="2"/>
      <c r="V66" s="2"/>
      <c r="W66" s="2"/>
      <c r="X66" s="2"/>
      <c r="Y66" s="2"/>
      <c r="Z66" s="2"/>
      <c r="AA66" s="2"/>
    </row>
    <row r="67" spans="1:27" ht="15.6" x14ac:dyDescent="0.3">
      <c r="A67" s="303"/>
      <c r="B67" s="131">
        <v>0</v>
      </c>
      <c r="C67" s="304"/>
      <c r="D67" s="184"/>
      <c r="E67" s="42"/>
      <c r="F67" s="2"/>
      <c r="G67" s="2"/>
      <c r="H67" s="40"/>
      <c r="I67" s="2"/>
      <c r="J67" s="2"/>
      <c r="K67" s="2"/>
      <c r="L67" s="2"/>
      <c r="M67" s="2"/>
      <c r="N67" s="2"/>
      <c r="O67" s="2"/>
      <c r="P67" s="2"/>
      <c r="Q67" s="2"/>
      <c r="R67" s="2"/>
      <c r="S67" s="2"/>
      <c r="T67" s="2"/>
      <c r="U67" s="2"/>
      <c r="V67" s="2"/>
      <c r="W67" s="2"/>
      <c r="X67" s="2"/>
      <c r="Y67" s="2"/>
      <c r="Z67" s="2"/>
      <c r="AA67" s="2"/>
    </row>
    <row r="68" spans="1:27" ht="15.6" x14ac:dyDescent="0.3">
      <c r="A68" s="12" t="s">
        <v>83</v>
      </c>
      <c r="B68" s="38">
        <f>SUM(B63:B67)</f>
        <v>0</v>
      </c>
      <c r="C68" s="305">
        <f>B68/G27</f>
        <v>0</v>
      </c>
      <c r="D68" s="40"/>
      <c r="E68" s="182"/>
      <c r="F68" s="2"/>
      <c r="G68" s="2"/>
      <c r="H68" s="40"/>
      <c r="I68" s="2"/>
      <c r="J68" s="2"/>
      <c r="K68" s="2"/>
      <c r="L68" s="2"/>
      <c r="M68" s="2"/>
      <c r="N68" s="2"/>
      <c r="O68" s="2"/>
      <c r="P68" s="2"/>
      <c r="Q68" s="2"/>
      <c r="R68" s="2"/>
      <c r="S68" s="2"/>
      <c r="T68" s="2"/>
      <c r="U68" s="2"/>
      <c r="V68" s="2"/>
      <c r="W68" s="2"/>
      <c r="X68" s="2"/>
      <c r="Y68" s="2"/>
      <c r="Z68" s="2"/>
      <c r="AA68" s="2"/>
    </row>
    <row r="69" spans="1:27" ht="15.6" x14ac:dyDescent="0.3">
      <c r="A69" s="41"/>
      <c r="B69" s="2"/>
      <c r="C69" s="306"/>
      <c r="D69" s="207"/>
      <c r="E69" s="42"/>
      <c r="F69" s="2"/>
      <c r="G69" s="2"/>
      <c r="H69" s="40"/>
      <c r="I69" s="2"/>
      <c r="J69" s="2"/>
      <c r="K69" s="2"/>
      <c r="L69" s="2"/>
      <c r="M69" s="2"/>
      <c r="N69" s="2"/>
      <c r="O69" s="2"/>
      <c r="P69" s="2"/>
      <c r="Q69" s="2"/>
      <c r="R69" s="2"/>
      <c r="S69" s="2"/>
      <c r="T69" s="2"/>
      <c r="U69" s="2"/>
      <c r="V69" s="2"/>
      <c r="W69" s="2"/>
      <c r="X69" s="2"/>
      <c r="Y69" s="2"/>
      <c r="Z69" s="2"/>
      <c r="AA69" s="2"/>
    </row>
    <row r="70" spans="1:27" ht="15.6" x14ac:dyDescent="0.3">
      <c r="A70" s="12" t="s">
        <v>84</v>
      </c>
      <c r="B70" s="35">
        <f ca="1">B24+B33+B43+B49+B54+B60+B68</f>
        <v>9183154.9736108612</v>
      </c>
      <c r="C70" s="307">
        <f ca="1">B70/G27</f>
        <v>918315.49736108608</v>
      </c>
      <c r="D70" s="50"/>
      <c r="E70" s="2"/>
      <c r="F70" s="2"/>
      <c r="G70" s="2"/>
      <c r="H70" s="40"/>
      <c r="I70" s="2"/>
      <c r="J70" s="2"/>
      <c r="K70" s="2"/>
      <c r="L70" s="2"/>
      <c r="M70" s="2"/>
      <c r="N70" s="2"/>
      <c r="O70" s="2"/>
      <c r="P70" s="2"/>
      <c r="Q70" s="2"/>
      <c r="R70" s="2"/>
      <c r="S70" s="2"/>
      <c r="T70" s="2"/>
      <c r="U70" s="2"/>
      <c r="V70" s="2"/>
      <c r="W70" s="2"/>
      <c r="X70" s="2"/>
      <c r="Y70" s="2"/>
      <c r="Z70" s="2"/>
      <c r="AA70" s="2"/>
    </row>
    <row r="71" spans="1:27" ht="15.75" customHeight="1" x14ac:dyDescent="0.3">
      <c r="A71" s="43"/>
      <c r="B71" s="50"/>
      <c r="C71" s="50"/>
      <c r="D71" s="43"/>
      <c r="E71" s="50"/>
      <c r="F71" s="2"/>
      <c r="G71" s="2"/>
      <c r="H71" s="40"/>
      <c r="I71" s="50"/>
      <c r="J71" s="51"/>
      <c r="K71" s="2"/>
      <c r="L71" s="2"/>
      <c r="M71" s="2"/>
      <c r="N71" s="2"/>
      <c r="O71" s="2"/>
      <c r="P71" s="2"/>
      <c r="Q71" s="2"/>
      <c r="R71" s="2"/>
      <c r="S71" s="2"/>
      <c r="T71" s="2"/>
      <c r="U71" s="2"/>
      <c r="V71" s="2"/>
      <c r="W71" s="2"/>
      <c r="X71" s="2"/>
      <c r="Y71" s="2"/>
      <c r="Z71" s="2"/>
      <c r="AA71" s="2"/>
    </row>
    <row r="72" spans="1:27" ht="15.75" customHeight="1" x14ac:dyDescent="0.3">
      <c r="A72" s="251" t="s">
        <v>85</v>
      </c>
      <c r="B72" s="301"/>
      <c r="C72" s="43"/>
      <c r="D72" s="43"/>
      <c r="E72" s="2"/>
      <c r="F72" s="2"/>
      <c r="G72" s="2"/>
      <c r="H72" s="40"/>
      <c r="I72" s="51"/>
      <c r="J72" s="51"/>
      <c r="K72" s="2"/>
      <c r="L72" s="2"/>
      <c r="M72" s="2"/>
      <c r="N72" s="2"/>
      <c r="O72" s="2"/>
      <c r="P72" s="2"/>
      <c r="Q72" s="2"/>
      <c r="R72" s="2"/>
      <c r="S72" s="2"/>
      <c r="T72" s="2"/>
      <c r="U72" s="2"/>
      <c r="V72" s="2"/>
      <c r="W72" s="2"/>
      <c r="X72" s="2"/>
      <c r="Y72" s="2"/>
      <c r="Z72" s="2"/>
      <c r="AA72" s="2"/>
    </row>
    <row r="73" spans="1:27" ht="15.75" customHeight="1" x14ac:dyDescent="0.3">
      <c r="A73" s="128" t="s">
        <v>86</v>
      </c>
      <c r="B73" s="324">
        <v>0</v>
      </c>
      <c r="C73" s="43"/>
      <c r="D73" s="43"/>
      <c r="E73" s="2"/>
      <c r="F73" s="2"/>
      <c r="G73" s="2"/>
      <c r="H73" s="40"/>
      <c r="I73" s="51"/>
      <c r="J73" s="51"/>
      <c r="K73" s="2"/>
      <c r="L73" s="2"/>
      <c r="M73" s="2"/>
      <c r="N73" s="2"/>
      <c r="O73" s="2"/>
      <c r="P73" s="2"/>
      <c r="Q73" s="2"/>
      <c r="R73" s="2"/>
      <c r="S73" s="2"/>
      <c r="T73" s="2"/>
      <c r="U73" s="2"/>
      <c r="V73" s="2"/>
      <c r="W73" s="2"/>
      <c r="X73" s="2"/>
      <c r="Y73" s="2"/>
      <c r="Z73" s="2"/>
      <c r="AA73" s="2"/>
    </row>
    <row r="74" spans="1:27" ht="15.75" customHeight="1" x14ac:dyDescent="0.3">
      <c r="A74" s="15" t="s">
        <v>87</v>
      </c>
      <c r="B74" s="53">
        <f>B73*G25*12</f>
        <v>0</v>
      </c>
      <c r="C74" s="43"/>
      <c r="D74" s="51"/>
      <c r="E74" s="2"/>
      <c r="F74" s="2"/>
      <c r="G74" s="2"/>
      <c r="H74" s="40"/>
      <c r="I74" s="51"/>
      <c r="J74" s="51"/>
      <c r="K74" s="2"/>
      <c r="L74" s="2"/>
      <c r="M74" s="2"/>
      <c r="N74" s="2"/>
      <c r="O74" s="2"/>
      <c r="P74" s="2"/>
      <c r="Q74" s="2"/>
      <c r="R74" s="2"/>
      <c r="S74" s="2"/>
      <c r="T74" s="2"/>
      <c r="U74" s="2"/>
      <c r="V74" s="2"/>
      <c r="W74" s="2"/>
      <c r="X74" s="2"/>
      <c r="Y74" s="2"/>
      <c r="Z74" s="2"/>
      <c r="AA74" s="2"/>
    </row>
    <row r="75" spans="1:27" ht="15.75" customHeight="1" x14ac:dyDescent="0.3">
      <c r="A75" s="43"/>
      <c r="B75" s="51"/>
      <c r="C75" s="51"/>
      <c r="D75" s="43"/>
      <c r="E75" s="51"/>
      <c r="F75" s="2"/>
      <c r="G75" s="2"/>
      <c r="H75" s="40"/>
      <c r="I75" s="51"/>
      <c r="J75" s="51"/>
      <c r="K75" s="2"/>
      <c r="L75" s="2"/>
      <c r="M75" s="2"/>
      <c r="N75" s="2"/>
      <c r="O75" s="2"/>
      <c r="P75" s="2"/>
      <c r="Q75" s="2"/>
      <c r="R75" s="2"/>
      <c r="S75" s="2"/>
      <c r="T75" s="2"/>
      <c r="U75" s="2"/>
      <c r="V75" s="2"/>
      <c r="W75" s="2"/>
      <c r="X75" s="2"/>
      <c r="Y75" s="2"/>
      <c r="Z75" s="2"/>
      <c r="AA75" s="2"/>
    </row>
    <row r="76" spans="1:27" ht="15.75" customHeight="1" x14ac:dyDescent="0.3">
      <c r="A76" s="251" t="s">
        <v>88</v>
      </c>
      <c r="B76" s="301"/>
      <c r="C76" s="43"/>
      <c r="D76" s="43"/>
      <c r="E76" s="2"/>
      <c r="F76" s="2"/>
      <c r="G76" s="2"/>
      <c r="H76" s="40"/>
      <c r="I76" s="51"/>
      <c r="J76" s="51"/>
      <c r="K76" s="2"/>
      <c r="L76" s="2"/>
      <c r="M76" s="2"/>
      <c r="N76" s="2"/>
      <c r="O76" s="2"/>
      <c r="P76" s="2"/>
      <c r="Q76" s="2"/>
      <c r="R76" s="2"/>
      <c r="S76" s="2"/>
      <c r="T76" s="2"/>
      <c r="U76" s="2"/>
      <c r="V76" s="2"/>
      <c r="W76" s="2"/>
      <c r="X76" s="2"/>
      <c r="Y76" s="2"/>
      <c r="Z76" s="2"/>
      <c r="AA76" s="2"/>
    </row>
    <row r="77" spans="1:27" ht="15.75" customHeight="1" x14ac:dyDescent="0.3">
      <c r="A77" s="128" t="s">
        <v>89</v>
      </c>
      <c r="B77" s="300">
        <v>0</v>
      </c>
      <c r="C77" s="43"/>
      <c r="D77" s="2"/>
      <c r="E77" s="2"/>
      <c r="F77" s="50"/>
      <c r="G77" s="50"/>
      <c r="H77" s="50"/>
      <c r="I77" s="51"/>
      <c r="J77" s="51"/>
      <c r="K77" s="2"/>
      <c r="L77" s="2"/>
      <c r="M77" s="2"/>
      <c r="N77" s="2"/>
      <c r="O77" s="2"/>
      <c r="P77" s="2"/>
      <c r="Q77" s="2"/>
      <c r="R77" s="2"/>
      <c r="S77" s="2"/>
      <c r="T77" s="2"/>
      <c r="U77" s="2"/>
      <c r="V77" s="2"/>
      <c r="W77" s="2"/>
      <c r="X77" s="2"/>
      <c r="Y77" s="2"/>
      <c r="Z77" s="2"/>
      <c r="AA77" s="2"/>
    </row>
    <row r="78" spans="1:27" ht="15.75" customHeight="1" x14ac:dyDescent="0.3">
      <c r="A78" s="15" t="s">
        <v>90</v>
      </c>
      <c r="B78" s="52">
        <v>0</v>
      </c>
      <c r="C78" s="2"/>
      <c r="D78" s="43"/>
      <c r="E78" s="2"/>
      <c r="F78" s="2"/>
      <c r="G78" s="2"/>
      <c r="H78" s="51"/>
      <c r="I78" s="51"/>
      <c r="J78" s="51"/>
      <c r="K78" s="2"/>
      <c r="L78" s="2"/>
      <c r="M78" s="2"/>
      <c r="N78" s="2"/>
      <c r="O78" s="2"/>
      <c r="P78" s="2"/>
      <c r="Q78" s="2"/>
      <c r="R78" s="2"/>
      <c r="S78" s="2"/>
      <c r="T78" s="2"/>
      <c r="U78" s="2"/>
      <c r="V78" s="2"/>
      <c r="W78" s="2"/>
      <c r="X78" s="2"/>
      <c r="Y78" s="2"/>
      <c r="Z78" s="2"/>
      <c r="AA78" s="2"/>
    </row>
    <row r="79" spans="1:27" ht="15.75" customHeight="1" x14ac:dyDescent="0.3">
      <c r="A79" s="15" t="s">
        <v>91</v>
      </c>
      <c r="B79" s="53">
        <f>B77*B78*12</f>
        <v>0</v>
      </c>
      <c r="C79" s="43"/>
      <c r="D79" s="51"/>
      <c r="E79" s="2"/>
      <c r="F79" s="2"/>
      <c r="G79" s="2"/>
      <c r="H79" s="51"/>
      <c r="I79" s="51"/>
      <c r="J79" s="51"/>
      <c r="K79" s="2"/>
      <c r="L79" s="2"/>
      <c r="M79" s="2"/>
      <c r="N79" s="2"/>
      <c r="O79" s="2"/>
      <c r="P79" s="2"/>
      <c r="Q79" s="2"/>
      <c r="R79" s="2"/>
      <c r="S79" s="2"/>
      <c r="T79" s="2"/>
      <c r="U79" s="2"/>
      <c r="V79" s="2"/>
      <c r="W79" s="2"/>
      <c r="X79" s="2"/>
      <c r="Y79" s="2"/>
      <c r="Z79" s="2"/>
      <c r="AA79" s="2"/>
    </row>
    <row r="80" spans="1:27" ht="15.75" customHeight="1" x14ac:dyDescent="0.3">
      <c r="A80" s="43"/>
      <c r="B80" s="51"/>
      <c r="C80" s="51"/>
      <c r="D80" s="208"/>
      <c r="E80" s="51"/>
      <c r="F80" s="2"/>
      <c r="G80" s="2"/>
      <c r="H80" s="51"/>
      <c r="I80" s="51"/>
      <c r="J80" s="51"/>
      <c r="K80" s="2"/>
      <c r="L80" s="2"/>
      <c r="M80" s="2"/>
      <c r="N80" s="2"/>
      <c r="O80" s="2"/>
      <c r="P80" s="2"/>
      <c r="Q80" s="2"/>
      <c r="R80" s="2"/>
      <c r="S80" s="2"/>
      <c r="T80" s="2"/>
      <c r="U80" s="2"/>
      <c r="V80" s="2"/>
      <c r="W80" s="2"/>
      <c r="X80" s="2"/>
      <c r="Y80" s="2"/>
      <c r="Z80" s="2"/>
      <c r="AA80" s="2"/>
    </row>
    <row r="81" spans="1:27" s="311" customFormat="1" ht="57.6" x14ac:dyDescent="0.25">
      <c r="A81" s="312" t="s">
        <v>92</v>
      </c>
      <c r="B81" s="312" t="s">
        <v>93</v>
      </c>
      <c r="C81" s="313" t="s">
        <v>94</v>
      </c>
      <c r="D81" s="314" t="s">
        <v>95</v>
      </c>
      <c r="E81" s="315" t="s">
        <v>96</v>
      </c>
      <c r="F81" s="316" t="s">
        <v>97</v>
      </c>
      <c r="G81" s="320" t="s">
        <v>98</v>
      </c>
      <c r="H81" s="316" t="s">
        <v>99</v>
      </c>
      <c r="I81" s="314" t="s">
        <v>100</v>
      </c>
      <c r="J81" s="310"/>
      <c r="K81" s="310"/>
      <c r="L81" s="310"/>
      <c r="M81" s="310"/>
      <c r="N81" s="310"/>
      <c r="O81" s="310"/>
      <c r="P81" s="310"/>
      <c r="Q81" s="310"/>
      <c r="R81" s="310"/>
      <c r="S81" s="310"/>
      <c r="T81" s="310"/>
      <c r="U81" s="310"/>
      <c r="V81" s="310"/>
      <c r="W81" s="310"/>
      <c r="X81" s="310"/>
      <c r="Y81" s="310"/>
      <c r="Z81" s="310"/>
    </row>
    <row r="82" spans="1:27" ht="15.75" customHeight="1" x14ac:dyDescent="0.3">
      <c r="A82" s="116" t="s">
        <v>101</v>
      </c>
      <c r="B82" s="58">
        <v>0</v>
      </c>
      <c r="C82" s="285">
        <v>0.8</v>
      </c>
      <c r="D82" s="59">
        <f ca="1">OFFSET(SSP_CF!$B$22,MATCH('3.Intake Form'!$C82,SSP_CF!$B$22:$B$42,0)-1,MATCH('3.Intake Form'!$A82,SSP_CF!$B$22:$G$22,0)-1)</f>
        <v>1940</v>
      </c>
      <c r="E82" s="317">
        <f ca="1">D82</f>
        <v>1940</v>
      </c>
      <c r="F82" s="213">
        <v>56</v>
      </c>
      <c r="G82" s="213">
        <f t="shared" ref="G82:G85" ca="1" si="0">E82-F82</f>
        <v>1884</v>
      </c>
      <c r="H82" s="44">
        <f ca="1">B82*G82</f>
        <v>0</v>
      </c>
      <c r="I82" s="135">
        <f t="shared" ref="I82:I85" ca="1" si="1">H82*12</f>
        <v>0</v>
      </c>
      <c r="J82" s="2"/>
      <c r="K82" s="2"/>
      <c r="L82" s="2"/>
      <c r="M82" s="2"/>
      <c r="N82" s="2"/>
      <c r="O82" s="2"/>
      <c r="P82" s="2"/>
      <c r="Q82" s="2"/>
      <c r="R82" s="2"/>
      <c r="S82" s="2"/>
      <c r="T82" s="2"/>
      <c r="U82" s="2"/>
      <c r="V82" s="2"/>
      <c r="W82" s="2"/>
      <c r="X82" s="2"/>
      <c r="Y82" s="2"/>
      <c r="Z82" s="2"/>
    </row>
    <row r="83" spans="1:27" ht="15.75" customHeight="1" x14ac:dyDescent="0.3">
      <c r="A83" s="116" t="s">
        <v>102</v>
      </c>
      <c r="B83" s="60">
        <v>0</v>
      </c>
      <c r="C83" s="215">
        <v>0.8</v>
      </c>
      <c r="D83" s="149">
        <f ca="1">OFFSET(SSP_CF!$B$22,MATCH('3.Intake Form'!$C83,SSP_CF!$B$22:$B$42,0)-1,MATCH('3.Intake Form'!$A83,SSP_CF!$B$22:$G$22,0)-1)</f>
        <v>2218</v>
      </c>
      <c r="E83" s="318">
        <f ca="1">D83</f>
        <v>2218</v>
      </c>
      <c r="F83" s="214">
        <f>15+5+32+13</f>
        <v>65</v>
      </c>
      <c r="G83" s="214">
        <f t="shared" ca="1" si="0"/>
        <v>2153</v>
      </c>
      <c r="H83" s="23">
        <f ca="1">B83*G83</f>
        <v>0</v>
      </c>
      <c r="I83" s="113">
        <f t="shared" ca="1" si="1"/>
        <v>0</v>
      </c>
      <c r="J83" s="2"/>
      <c r="K83" s="2"/>
      <c r="L83" s="2"/>
      <c r="M83" s="2"/>
      <c r="N83" s="2"/>
      <c r="O83" s="2"/>
      <c r="P83" s="2"/>
      <c r="Q83" s="2"/>
      <c r="R83" s="2"/>
      <c r="S83" s="2"/>
      <c r="T83" s="2"/>
      <c r="U83" s="2"/>
      <c r="V83" s="2"/>
      <c r="W83" s="2"/>
      <c r="X83" s="2"/>
      <c r="Y83" s="2"/>
      <c r="Z83" s="2"/>
    </row>
    <row r="84" spans="1:27" ht="15.75" customHeight="1" x14ac:dyDescent="0.3">
      <c r="A84" s="116" t="s">
        <v>103</v>
      </c>
      <c r="B84" s="60">
        <v>8</v>
      </c>
      <c r="C84" s="215">
        <v>0.65</v>
      </c>
      <c r="D84" s="149">
        <f ca="1">OFFSET(SSP_CF!$B$22,MATCH('3.Intake Form'!$C84,SSP_CF!$B$22:$B$42,0)-1,MATCH('3.Intake Form'!$A84,SSP_CF!$B$22:$G$22,0)-1)</f>
        <v>2026</v>
      </c>
      <c r="E84" s="318">
        <f ca="1">D84</f>
        <v>2026</v>
      </c>
      <c r="F84" s="214">
        <f>18+6+45+19</f>
        <v>88</v>
      </c>
      <c r="G84" s="214">
        <f t="shared" ca="1" si="0"/>
        <v>1938</v>
      </c>
      <c r="H84" s="23">
        <f ca="1">B84*G84</f>
        <v>15504</v>
      </c>
      <c r="I84" s="113">
        <f t="shared" ca="1" si="1"/>
        <v>186048</v>
      </c>
      <c r="J84" s="2"/>
      <c r="K84" s="2"/>
      <c r="L84" s="2"/>
      <c r="M84" s="2"/>
      <c r="N84" s="2"/>
      <c r="O84" s="2"/>
      <c r="P84" s="2"/>
      <c r="Q84" s="2"/>
      <c r="R84" s="2"/>
      <c r="S84" s="2"/>
      <c r="T84" s="2"/>
      <c r="U84" s="2"/>
      <c r="V84" s="2"/>
      <c r="W84" s="2"/>
      <c r="X84" s="2"/>
      <c r="Y84" s="2"/>
      <c r="Z84" s="2"/>
    </row>
    <row r="85" spans="1:27" ht="15.75" customHeight="1" x14ac:dyDescent="0.3">
      <c r="A85" s="116" t="s">
        <v>104</v>
      </c>
      <c r="B85" s="60">
        <v>0</v>
      </c>
      <c r="C85" s="215">
        <v>0.8</v>
      </c>
      <c r="D85" s="149">
        <f ca="1">OFFSET(SSP_CF!$B$22,MATCH('3.Intake Form'!$C85,SSP_CF!$B$22:$B$42,0)-1,MATCH('3.Intake Form'!$A85,SSP_CF!$B$22:$G$22,0)-1)</f>
        <v>2771</v>
      </c>
      <c r="E85" s="318">
        <f ca="1">D85</f>
        <v>2771</v>
      </c>
      <c r="F85" s="214">
        <f>21+8+61+22</f>
        <v>112</v>
      </c>
      <c r="G85" s="214">
        <f t="shared" ca="1" si="0"/>
        <v>2659</v>
      </c>
      <c r="H85" s="23">
        <f ca="1">B85*G85</f>
        <v>0</v>
      </c>
      <c r="I85" s="113">
        <f t="shared" ca="1" si="1"/>
        <v>0</v>
      </c>
      <c r="J85" s="2"/>
      <c r="K85" s="2"/>
      <c r="L85" s="2"/>
      <c r="M85" s="2"/>
      <c r="N85" s="2"/>
      <c r="O85" s="2"/>
      <c r="P85" s="2"/>
      <c r="Q85" s="2"/>
      <c r="R85" s="2"/>
      <c r="S85" s="2"/>
      <c r="T85" s="2"/>
      <c r="U85" s="2"/>
      <c r="V85" s="2"/>
      <c r="W85" s="2"/>
      <c r="X85" s="2"/>
      <c r="Y85" s="2"/>
      <c r="Z85" s="2"/>
    </row>
    <row r="86" spans="1:27" ht="15.75" customHeight="1" x14ac:dyDescent="0.3">
      <c r="A86" s="61" t="s">
        <v>105</v>
      </c>
      <c r="B86" s="60"/>
      <c r="C86" s="216">
        <v>0.5</v>
      </c>
      <c r="D86" s="150"/>
      <c r="E86" s="319">
        <v>0</v>
      </c>
      <c r="F86" s="181"/>
      <c r="G86" s="181"/>
      <c r="H86" s="23"/>
      <c r="I86" s="137"/>
      <c r="J86" s="2"/>
      <c r="K86" s="2"/>
      <c r="L86" s="2"/>
      <c r="M86" s="2"/>
      <c r="N86" s="2"/>
      <c r="O86" s="2"/>
      <c r="P86" s="2"/>
      <c r="Q86" s="2"/>
      <c r="R86" s="2"/>
      <c r="S86" s="2"/>
      <c r="T86" s="2"/>
      <c r="U86" s="2"/>
      <c r="V86" s="2"/>
      <c r="W86" s="2"/>
      <c r="X86" s="2"/>
      <c r="Y86" s="2"/>
      <c r="Z86" s="2"/>
    </row>
    <row r="87" spans="1:27" ht="15.75" customHeight="1" x14ac:dyDescent="0.3">
      <c r="A87" s="82" t="s">
        <v>106</v>
      </c>
      <c r="B87" s="155">
        <f>SUM(B82:B86)</f>
        <v>8</v>
      </c>
      <c r="C87" s="202"/>
      <c r="D87" s="51"/>
      <c r="E87" s="185"/>
      <c r="F87" s="149"/>
      <c r="G87" s="202"/>
      <c r="H87" s="154">
        <f t="shared" ref="H87:I87" ca="1" si="2">SUM(H82:H86)</f>
        <v>15504</v>
      </c>
      <c r="I87" s="45">
        <f t="shared" ca="1" si="2"/>
        <v>186048</v>
      </c>
      <c r="J87" s="2"/>
      <c r="K87" s="2"/>
      <c r="L87" s="2"/>
      <c r="M87" s="2"/>
      <c r="N87" s="2"/>
      <c r="O87" s="2"/>
      <c r="P87" s="2"/>
      <c r="Q87" s="2"/>
      <c r="R87" s="2"/>
      <c r="S87" s="2"/>
      <c r="T87" s="2"/>
      <c r="U87" s="2"/>
      <c r="V87" s="2"/>
      <c r="W87" s="2"/>
      <c r="X87" s="2"/>
      <c r="Y87" s="2"/>
      <c r="Z87" s="2"/>
    </row>
    <row r="88" spans="1:27" ht="15.75" customHeight="1" x14ac:dyDescent="0.3">
      <c r="A88" s="43"/>
      <c r="B88" s="43"/>
      <c r="C88" s="51"/>
      <c r="D88" s="209"/>
      <c r="E88" s="51"/>
      <c r="F88" s="43"/>
      <c r="G88" s="43"/>
      <c r="H88" s="43"/>
      <c r="I88" s="43"/>
      <c r="J88" s="43"/>
      <c r="K88" s="2"/>
      <c r="L88" s="2"/>
      <c r="M88" s="2"/>
      <c r="N88" s="2"/>
      <c r="O88" s="2"/>
      <c r="P88" s="2"/>
      <c r="Q88" s="2"/>
      <c r="R88" s="2"/>
      <c r="S88" s="2"/>
      <c r="T88" s="2"/>
      <c r="U88" s="2"/>
      <c r="V88" s="2"/>
      <c r="W88" s="2"/>
      <c r="X88" s="2"/>
      <c r="Y88" s="2"/>
      <c r="Z88" s="2"/>
      <c r="AA88" s="2"/>
    </row>
    <row r="89" spans="1:27" ht="43.2" x14ac:dyDescent="0.3">
      <c r="A89" s="312" t="s">
        <v>107</v>
      </c>
      <c r="B89" s="312" t="s">
        <v>108</v>
      </c>
      <c r="C89" s="321" t="s">
        <v>109</v>
      </c>
      <c r="D89" s="322" t="s">
        <v>110</v>
      </c>
      <c r="E89" s="323" t="s">
        <v>111</v>
      </c>
      <c r="F89" s="323" t="s">
        <v>112</v>
      </c>
      <c r="G89" s="323" t="s">
        <v>113</v>
      </c>
      <c r="H89" s="43"/>
      <c r="I89" s="43"/>
      <c r="J89" s="2"/>
      <c r="K89" s="2"/>
      <c r="L89" s="2"/>
      <c r="M89" s="2"/>
      <c r="N89" s="2"/>
      <c r="O89" s="2"/>
      <c r="P89" s="2"/>
      <c r="Q89" s="2"/>
      <c r="R89" s="2"/>
      <c r="S89" s="2"/>
      <c r="T89" s="2"/>
      <c r="U89" s="2"/>
      <c r="V89" s="2"/>
      <c r="W89" s="2"/>
      <c r="X89" s="2"/>
      <c r="Y89" s="2"/>
      <c r="Z89" s="2"/>
    </row>
    <row r="90" spans="1:27" ht="15.75" customHeight="1" x14ac:dyDescent="0.3">
      <c r="A90" s="66" t="s">
        <v>115</v>
      </c>
      <c r="B90" s="66">
        <v>1000</v>
      </c>
      <c r="C90" s="67">
        <v>9000</v>
      </c>
      <c r="D90" s="113">
        <v>0</v>
      </c>
      <c r="E90" s="51">
        <f t="shared" ref="E90:E98" si="3">C90-D90</f>
        <v>9000</v>
      </c>
      <c r="F90" s="113">
        <f t="shared" ref="F90:F98" si="4">E90*12</f>
        <v>108000</v>
      </c>
      <c r="G90" s="68">
        <f t="shared" ref="G90:G99" si="5">IFERROR(E90/B90,0)</f>
        <v>9</v>
      </c>
      <c r="H90" s="43"/>
      <c r="I90" s="43"/>
      <c r="J90" s="2"/>
      <c r="K90" s="2"/>
      <c r="L90" s="2"/>
      <c r="M90" s="2"/>
      <c r="N90" s="2"/>
      <c r="O90" s="2"/>
      <c r="P90" s="2"/>
      <c r="Q90" s="2"/>
      <c r="R90" s="2"/>
      <c r="S90" s="2"/>
      <c r="T90" s="2"/>
      <c r="U90" s="2"/>
      <c r="V90" s="2"/>
      <c r="W90" s="2"/>
      <c r="X90" s="2"/>
      <c r="Y90" s="2"/>
      <c r="Z90" s="2"/>
    </row>
    <row r="91" spans="1:27" ht="15.75" customHeight="1" x14ac:dyDescent="0.3">
      <c r="A91" s="66" t="s">
        <v>115</v>
      </c>
      <c r="B91" s="66">
        <v>1000</v>
      </c>
      <c r="C91" s="67">
        <v>9000</v>
      </c>
      <c r="D91" s="113">
        <v>0</v>
      </c>
      <c r="E91" s="51">
        <f t="shared" si="3"/>
        <v>9000</v>
      </c>
      <c r="F91" s="113">
        <f t="shared" si="4"/>
        <v>108000</v>
      </c>
      <c r="G91" s="68">
        <f t="shared" si="5"/>
        <v>9</v>
      </c>
      <c r="H91" s="43"/>
      <c r="I91" s="43"/>
      <c r="J91" s="2"/>
      <c r="K91" s="2"/>
      <c r="L91" s="2"/>
      <c r="M91" s="2"/>
      <c r="N91" s="2"/>
      <c r="O91" s="2"/>
      <c r="P91" s="2"/>
      <c r="Q91" s="2"/>
      <c r="R91" s="2"/>
      <c r="S91" s="2"/>
      <c r="T91" s="2"/>
      <c r="U91" s="2"/>
      <c r="V91" s="2"/>
      <c r="W91" s="2"/>
      <c r="X91" s="2"/>
      <c r="Y91" s="2"/>
      <c r="Z91" s="2"/>
    </row>
    <row r="92" spans="1:27" ht="15.75" customHeight="1" x14ac:dyDescent="0.3">
      <c r="A92" s="66" t="s">
        <v>115</v>
      </c>
      <c r="B92" s="66"/>
      <c r="C92" s="67">
        <v>0</v>
      </c>
      <c r="D92" s="113">
        <v>0</v>
      </c>
      <c r="E92" s="51">
        <f t="shared" si="3"/>
        <v>0</v>
      </c>
      <c r="F92" s="113">
        <f t="shared" si="4"/>
        <v>0</v>
      </c>
      <c r="G92" s="68">
        <f t="shared" si="5"/>
        <v>0</v>
      </c>
      <c r="H92" s="43"/>
      <c r="I92" s="43"/>
      <c r="J92" s="2"/>
      <c r="K92" s="2"/>
      <c r="L92" s="2"/>
      <c r="M92" s="2"/>
      <c r="N92" s="2"/>
      <c r="O92" s="2"/>
      <c r="P92" s="2"/>
      <c r="Q92" s="2"/>
      <c r="R92" s="2"/>
      <c r="S92" s="2"/>
      <c r="T92" s="2"/>
      <c r="U92" s="2"/>
      <c r="V92" s="2"/>
      <c r="W92" s="2"/>
      <c r="X92" s="2"/>
      <c r="Y92" s="2"/>
      <c r="Z92" s="2"/>
    </row>
    <row r="93" spans="1:27" ht="15.75" customHeight="1" x14ac:dyDescent="0.3">
      <c r="A93" s="66" t="s">
        <v>115</v>
      </c>
      <c r="B93" s="66"/>
      <c r="C93" s="67">
        <v>0</v>
      </c>
      <c r="D93" s="113">
        <v>0</v>
      </c>
      <c r="E93" s="51">
        <f t="shared" si="3"/>
        <v>0</v>
      </c>
      <c r="F93" s="113">
        <f t="shared" si="4"/>
        <v>0</v>
      </c>
      <c r="G93" s="68">
        <f t="shared" si="5"/>
        <v>0</v>
      </c>
      <c r="H93" s="43"/>
      <c r="I93" s="43"/>
      <c r="J93" s="2"/>
      <c r="K93" s="2"/>
      <c r="L93" s="2"/>
      <c r="M93" s="2"/>
      <c r="N93" s="2"/>
      <c r="O93" s="2"/>
      <c r="P93" s="2"/>
      <c r="Q93" s="2"/>
      <c r="R93" s="2"/>
      <c r="S93" s="2"/>
      <c r="T93" s="2"/>
      <c r="U93" s="2"/>
      <c r="V93" s="2"/>
      <c r="W93" s="2"/>
      <c r="X93" s="2"/>
      <c r="Y93" s="2"/>
      <c r="Z93" s="2"/>
    </row>
    <row r="94" spans="1:27" ht="15.75" customHeight="1" x14ac:dyDescent="0.3">
      <c r="A94" s="66" t="s">
        <v>115</v>
      </c>
      <c r="B94" s="66"/>
      <c r="C94" s="67">
        <v>0</v>
      </c>
      <c r="D94" s="113">
        <v>0</v>
      </c>
      <c r="E94" s="51">
        <f t="shared" si="3"/>
        <v>0</v>
      </c>
      <c r="F94" s="113">
        <f t="shared" si="4"/>
        <v>0</v>
      </c>
      <c r="G94" s="68">
        <f t="shared" si="5"/>
        <v>0</v>
      </c>
      <c r="H94" s="43"/>
      <c r="I94" s="43"/>
      <c r="J94" s="2"/>
      <c r="K94" s="2"/>
      <c r="L94" s="2"/>
      <c r="M94" s="2"/>
      <c r="N94" s="2"/>
      <c r="O94" s="2"/>
      <c r="P94" s="2"/>
      <c r="Q94" s="2"/>
      <c r="R94" s="2"/>
      <c r="S94" s="2"/>
      <c r="T94" s="2"/>
      <c r="U94" s="2"/>
      <c r="V94" s="2"/>
      <c r="W94" s="2"/>
      <c r="X94" s="2"/>
      <c r="Y94" s="2"/>
      <c r="Z94" s="2"/>
    </row>
    <row r="95" spans="1:27" ht="15.75" customHeight="1" x14ac:dyDescent="0.3">
      <c r="A95" s="66" t="s">
        <v>115</v>
      </c>
      <c r="B95" s="66"/>
      <c r="C95" s="67">
        <v>0</v>
      </c>
      <c r="D95" s="113">
        <v>0</v>
      </c>
      <c r="E95" s="51">
        <f t="shared" si="3"/>
        <v>0</v>
      </c>
      <c r="F95" s="113">
        <f t="shared" si="4"/>
        <v>0</v>
      </c>
      <c r="G95" s="68">
        <f t="shared" si="5"/>
        <v>0</v>
      </c>
      <c r="H95" s="43"/>
      <c r="I95" s="43"/>
      <c r="J95" s="2"/>
      <c r="K95" s="2"/>
      <c r="L95" s="2"/>
      <c r="M95" s="2"/>
      <c r="N95" s="2"/>
      <c r="O95" s="2"/>
      <c r="P95" s="2"/>
      <c r="Q95" s="2"/>
      <c r="R95" s="2"/>
      <c r="S95" s="2"/>
      <c r="T95" s="2"/>
      <c r="U95" s="2"/>
      <c r="V95" s="2"/>
      <c r="W95" s="2"/>
      <c r="X95" s="2"/>
      <c r="Y95" s="2"/>
      <c r="Z95" s="2"/>
    </row>
    <row r="96" spans="1:27" ht="15.75" customHeight="1" x14ac:dyDescent="0.3">
      <c r="A96" s="66" t="s">
        <v>115</v>
      </c>
      <c r="B96" s="66"/>
      <c r="C96" s="67">
        <v>0</v>
      </c>
      <c r="D96" s="113">
        <v>0</v>
      </c>
      <c r="E96" s="51">
        <f t="shared" si="3"/>
        <v>0</v>
      </c>
      <c r="F96" s="113">
        <f t="shared" si="4"/>
        <v>0</v>
      </c>
      <c r="G96" s="68">
        <f t="shared" si="5"/>
        <v>0</v>
      </c>
      <c r="H96" s="43"/>
      <c r="I96" s="43"/>
      <c r="J96" s="2"/>
      <c r="K96" s="2"/>
      <c r="L96" s="2"/>
      <c r="M96" s="2"/>
      <c r="N96" s="2"/>
      <c r="O96" s="2"/>
      <c r="P96" s="2"/>
      <c r="Q96" s="2"/>
      <c r="R96" s="2"/>
      <c r="S96" s="2"/>
      <c r="T96" s="2"/>
      <c r="U96" s="2"/>
      <c r="V96" s="2"/>
      <c r="W96" s="2"/>
      <c r="X96" s="2"/>
      <c r="Y96" s="2"/>
      <c r="Z96" s="2"/>
    </row>
    <row r="97" spans="1:27" ht="15.75" customHeight="1" x14ac:dyDescent="0.3">
      <c r="A97" s="66" t="s">
        <v>115</v>
      </c>
      <c r="B97" s="66"/>
      <c r="C97" s="67">
        <v>0</v>
      </c>
      <c r="D97" s="113">
        <v>0</v>
      </c>
      <c r="E97" s="51">
        <f t="shared" si="3"/>
        <v>0</v>
      </c>
      <c r="F97" s="113">
        <f t="shared" si="4"/>
        <v>0</v>
      </c>
      <c r="G97" s="68">
        <f t="shared" si="5"/>
        <v>0</v>
      </c>
      <c r="H97" s="43"/>
      <c r="I97" s="43"/>
      <c r="J97" s="2"/>
      <c r="K97" s="2"/>
      <c r="L97" s="2"/>
      <c r="M97" s="2"/>
      <c r="N97" s="2"/>
      <c r="O97" s="2"/>
      <c r="P97" s="2"/>
      <c r="Q97" s="2"/>
      <c r="R97" s="2"/>
      <c r="S97" s="2"/>
      <c r="T97" s="2"/>
      <c r="U97" s="2"/>
      <c r="V97" s="2"/>
      <c r="W97" s="2"/>
      <c r="X97" s="2"/>
      <c r="Y97" s="2"/>
      <c r="Z97" s="2"/>
    </row>
    <row r="98" spans="1:27" ht="15.75" customHeight="1" x14ac:dyDescent="0.3">
      <c r="A98" s="61" t="s">
        <v>115</v>
      </c>
      <c r="B98" s="61"/>
      <c r="C98" s="69">
        <v>0</v>
      </c>
      <c r="D98" s="113">
        <v>0</v>
      </c>
      <c r="E98" s="51">
        <f t="shared" si="3"/>
        <v>0</v>
      </c>
      <c r="F98" s="137">
        <f t="shared" si="4"/>
        <v>0</v>
      </c>
      <c r="G98" s="68">
        <f t="shared" si="5"/>
        <v>0</v>
      </c>
      <c r="H98" s="43"/>
      <c r="I98" s="43"/>
      <c r="J98" s="2"/>
      <c r="K98" s="2"/>
      <c r="L98" s="2"/>
      <c r="M98" s="2"/>
      <c r="N98" s="2"/>
      <c r="O98" s="2"/>
      <c r="P98" s="2"/>
      <c r="Q98" s="2"/>
      <c r="R98" s="2"/>
      <c r="S98" s="2"/>
      <c r="T98" s="2"/>
      <c r="U98" s="2"/>
      <c r="V98" s="2"/>
      <c r="W98" s="2"/>
      <c r="X98" s="2"/>
      <c r="Y98" s="2"/>
      <c r="Z98" s="2"/>
    </row>
    <row r="99" spans="1:27" ht="15.75" customHeight="1" x14ac:dyDescent="0.3">
      <c r="A99" s="70" t="s">
        <v>106</v>
      </c>
      <c r="B99" s="15">
        <f t="shared" ref="B99:F99" si="6">SUM(B90:B98)</f>
        <v>2000</v>
      </c>
      <c r="C99" s="71">
        <f t="shared" si="6"/>
        <v>18000</v>
      </c>
      <c r="D99" s="38">
        <f t="shared" si="6"/>
        <v>0</v>
      </c>
      <c r="E99" s="38">
        <f t="shared" si="6"/>
        <v>18000</v>
      </c>
      <c r="F99" s="38">
        <f t="shared" si="6"/>
        <v>216000</v>
      </c>
      <c r="G99" s="72">
        <f t="shared" si="5"/>
        <v>9</v>
      </c>
      <c r="H99" s="43"/>
      <c r="I99" s="43"/>
      <c r="J99" s="2"/>
      <c r="K99" s="2"/>
      <c r="L99" s="2"/>
      <c r="M99" s="2"/>
      <c r="N99" s="2"/>
      <c r="O99" s="2"/>
      <c r="P99" s="2"/>
      <c r="Q99" s="2"/>
      <c r="R99" s="2"/>
      <c r="S99" s="2"/>
      <c r="T99" s="2"/>
      <c r="U99" s="2"/>
      <c r="V99" s="2"/>
      <c r="W99" s="2"/>
      <c r="X99" s="2"/>
      <c r="Y99" s="2"/>
      <c r="Z99" s="2"/>
    </row>
    <row r="100" spans="1:27" ht="15.75" customHeight="1" x14ac:dyDescent="0.3">
      <c r="A100" s="43"/>
      <c r="B100" s="43"/>
      <c r="C100" s="43"/>
      <c r="D100" s="43"/>
      <c r="E100" s="43"/>
      <c r="F100" s="43"/>
      <c r="G100" s="43"/>
      <c r="H100" s="43"/>
      <c r="I100" s="43"/>
      <c r="J100" s="43"/>
      <c r="K100" s="2"/>
      <c r="L100" s="2"/>
      <c r="M100" s="2"/>
      <c r="N100" s="2"/>
      <c r="O100" s="2"/>
      <c r="P100" s="2"/>
      <c r="Q100" s="2"/>
      <c r="R100" s="2"/>
      <c r="S100" s="2"/>
      <c r="T100" s="2"/>
      <c r="U100" s="2"/>
      <c r="V100" s="2"/>
      <c r="W100" s="2"/>
      <c r="X100" s="2"/>
      <c r="Y100" s="2"/>
      <c r="Z100" s="2"/>
      <c r="AA100" s="2"/>
    </row>
    <row r="101" spans="1:27" ht="15.75" customHeight="1" x14ac:dyDescent="0.3">
      <c r="A101" s="34" t="s">
        <v>116</v>
      </c>
      <c r="B101" s="73">
        <f ca="1">SUM(B74+B79+I87+F99)/G16</f>
        <v>349606.95652173914</v>
      </c>
      <c r="C101" s="43"/>
      <c r="D101" s="43"/>
      <c r="E101" s="43"/>
      <c r="F101" s="43"/>
      <c r="G101" s="43"/>
      <c r="H101" s="43"/>
      <c r="I101" s="43"/>
      <c r="J101" s="43"/>
      <c r="K101" s="2"/>
      <c r="L101" s="2"/>
      <c r="M101" s="2"/>
      <c r="N101" s="2"/>
      <c r="O101" s="2"/>
      <c r="P101" s="2"/>
      <c r="Q101" s="2"/>
      <c r="R101" s="2"/>
      <c r="S101" s="2"/>
      <c r="T101" s="2"/>
      <c r="U101" s="2"/>
      <c r="V101" s="2"/>
      <c r="W101" s="2"/>
      <c r="X101" s="2"/>
      <c r="Y101" s="2"/>
      <c r="Z101" s="2"/>
      <c r="AA101" s="2"/>
    </row>
    <row r="102" spans="1:27" ht="15.75" customHeight="1" x14ac:dyDescent="0.3">
      <c r="A102" s="43"/>
      <c r="B102" s="43"/>
      <c r="C102" s="43"/>
      <c r="D102" s="43"/>
      <c r="E102" s="43"/>
      <c r="F102" s="43"/>
      <c r="G102" s="43"/>
      <c r="H102" s="43"/>
      <c r="I102" s="43"/>
      <c r="J102" s="43"/>
      <c r="K102" s="2"/>
      <c r="L102" s="2"/>
      <c r="M102" s="2"/>
      <c r="N102" s="2"/>
      <c r="O102" s="2"/>
      <c r="P102" s="2"/>
      <c r="Q102" s="2"/>
      <c r="R102" s="2"/>
      <c r="S102" s="2"/>
      <c r="T102" s="2"/>
      <c r="U102" s="2"/>
      <c r="V102" s="2"/>
      <c r="W102" s="2"/>
      <c r="X102" s="2"/>
      <c r="Y102" s="2"/>
      <c r="Z102" s="2"/>
      <c r="AA102" s="2"/>
    </row>
    <row r="103" spans="1:27" ht="15.75" customHeight="1" x14ac:dyDescent="0.3">
      <c r="A103" s="43"/>
      <c r="B103" s="43"/>
      <c r="C103" s="43"/>
      <c r="D103" s="43"/>
      <c r="E103" s="43"/>
      <c r="F103" s="43"/>
      <c r="G103" s="43"/>
      <c r="H103" s="43"/>
      <c r="I103" s="43"/>
      <c r="J103" s="43"/>
      <c r="K103" s="2"/>
      <c r="L103" s="2"/>
      <c r="M103" s="2"/>
      <c r="N103" s="2"/>
      <c r="O103" s="2"/>
      <c r="P103" s="2"/>
      <c r="Q103" s="2"/>
      <c r="R103" s="2"/>
      <c r="S103" s="2"/>
      <c r="T103" s="2"/>
      <c r="U103" s="2"/>
      <c r="V103" s="2"/>
      <c r="W103" s="2"/>
      <c r="X103" s="2"/>
      <c r="Y103" s="2"/>
      <c r="Z103" s="2"/>
      <c r="AA103" s="2"/>
    </row>
    <row r="104" spans="1:27" ht="15.75" customHeight="1" x14ac:dyDescent="0.3">
      <c r="A104" s="43"/>
      <c r="B104" s="43"/>
      <c r="C104" s="43"/>
      <c r="D104" s="43"/>
      <c r="E104" s="43"/>
      <c r="F104" s="43"/>
      <c r="G104" s="43"/>
      <c r="H104" s="43"/>
      <c r="I104" s="43"/>
      <c r="J104" s="43"/>
      <c r="K104" s="2"/>
      <c r="L104" s="2"/>
      <c r="M104" s="2"/>
      <c r="N104" s="2"/>
      <c r="O104" s="2"/>
      <c r="P104" s="2"/>
      <c r="Q104" s="2"/>
      <c r="R104" s="2"/>
      <c r="S104" s="2"/>
      <c r="T104" s="2"/>
      <c r="U104" s="2"/>
      <c r="V104" s="2"/>
      <c r="W104" s="2"/>
      <c r="X104" s="2"/>
      <c r="Y104" s="2"/>
      <c r="Z104" s="2"/>
      <c r="AA104" s="2"/>
    </row>
    <row r="105" spans="1:27" ht="15.75" customHeight="1" x14ac:dyDescent="0.3">
      <c r="A105" s="43"/>
      <c r="B105" s="43"/>
      <c r="C105" s="43"/>
      <c r="D105" s="43"/>
      <c r="E105" s="43"/>
      <c r="F105" s="43"/>
      <c r="G105" s="43"/>
      <c r="H105" s="43"/>
      <c r="I105" s="43"/>
      <c r="J105" s="43"/>
      <c r="K105" s="2"/>
      <c r="L105" s="2"/>
      <c r="M105" s="2"/>
      <c r="N105" s="2"/>
      <c r="O105" s="2"/>
      <c r="P105" s="2"/>
      <c r="Q105" s="2"/>
      <c r="R105" s="2"/>
      <c r="S105" s="2"/>
      <c r="T105" s="2"/>
      <c r="U105" s="2"/>
      <c r="V105" s="2"/>
      <c r="W105" s="2"/>
      <c r="X105" s="2"/>
      <c r="Y105" s="2"/>
      <c r="Z105" s="2"/>
      <c r="AA105" s="2"/>
    </row>
    <row r="106" spans="1:27" ht="15.75" customHeight="1" x14ac:dyDescent="0.3">
      <c r="A106" s="43"/>
      <c r="B106" s="43"/>
      <c r="C106" s="43"/>
      <c r="D106" s="2"/>
      <c r="E106" s="43"/>
      <c r="F106" s="43"/>
      <c r="G106" s="43"/>
      <c r="H106" s="43"/>
      <c r="I106" s="43"/>
      <c r="J106" s="43"/>
      <c r="K106" s="2"/>
      <c r="L106" s="2"/>
      <c r="M106" s="2"/>
      <c r="N106" s="2"/>
      <c r="O106" s="2"/>
      <c r="P106" s="2"/>
      <c r="Q106" s="2"/>
      <c r="R106" s="2"/>
      <c r="S106" s="2"/>
      <c r="T106" s="2"/>
      <c r="U106" s="2"/>
      <c r="V106" s="2"/>
      <c r="W106" s="2"/>
      <c r="X106" s="2"/>
      <c r="Y106" s="2"/>
      <c r="Z106" s="2"/>
      <c r="AA106" s="2"/>
    </row>
    <row r="107" spans="1:27"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5.6"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5.6" x14ac:dyDescent="0.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1:27" ht="15.6" x14ac:dyDescent="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1:27" ht="15.6" x14ac:dyDescent="0.3">
      <c r="A1004" s="2"/>
      <c r="B1004" s="2"/>
      <c r="C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row>
  </sheetData>
  <mergeCells count="3">
    <mergeCell ref="A18:B18"/>
    <mergeCell ref="A3:B3"/>
    <mergeCell ref="F19:G19"/>
  </mergeCells>
  <dataValidations count="1">
    <dataValidation type="list" allowBlank="1" sqref="B11" xr:uid="{00000000-0002-0000-0000-000001000000}">
      <formula1>"COPA Listing,Post-COPA Listing,Off-Market Sale,In Contract"</formula1>
    </dataValidation>
  </dataValidations>
  <pageMargins left="1" right="1" top="1" bottom="1" header="0" footer="0"/>
  <pageSetup scale="46" orientation="landscape"/>
  <ignoredErrors>
    <ignoredError sqref="B58" formulaRange="1"/>
  </ignoredErrors>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SSP_CF!$B$25:$B$42</xm:f>
          </x14:formula1>
          <xm:sqref>C82:C86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002"/>
  <sheetViews>
    <sheetView showGridLines="0" workbookViewId="0">
      <selection activeCell="B14" sqref="B14"/>
    </sheetView>
  </sheetViews>
  <sheetFormatPr defaultColWidth="12.59765625" defaultRowHeight="15" customHeight="1" x14ac:dyDescent="0.25"/>
  <cols>
    <col min="1" max="1" width="27.19921875" customWidth="1"/>
    <col min="2" max="21" width="12.59765625" customWidth="1"/>
    <col min="22" max="41" width="8.59765625" customWidth="1"/>
  </cols>
  <sheetData>
    <row r="1" spans="1:41" ht="13.5" customHeight="1" x14ac:dyDescent="0.3">
      <c r="A1" s="34" t="s">
        <v>117</v>
      </c>
      <c r="B1" s="74">
        <v>1</v>
      </c>
      <c r="C1" s="74">
        <f t="shared" ref="C1:U1" si="0">B1+1</f>
        <v>2</v>
      </c>
      <c r="D1" s="74">
        <f t="shared" si="0"/>
        <v>3</v>
      </c>
      <c r="E1" s="74">
        <f t="shared" si="0"/>
        <v>4</v>
      </c>
      <c r="F1" s="74">
        <f t="shared" si="0"/>
        <v>5</v>
      </c>
      <c r="G1" s="74">
        <f t="shared" si="0"/>
        <v>6</v>
      </c>
      <c r="H1" s="74">
        <f t="shared" si="0"/>
        <v>7</v>
      </c>
      <c r="I1" s="74">
        <f t="shared" si="0"/>
        <v>8</v>
      </c>
      <c r="J1" s="74">
        <f t="shared" si="0"/>
        <v>9</v>
      </c>
      <c r="K1" s="74">
        <f t="shared" si="0"/>
        <v>10</v>
      </c>
      <c r="L1" s="74">
        <f t="shared" si="0"/>
        <v>11</v>
      </c>
      <c r="M1" s="74">
        <f t="shared" si="0"/>
        <v>12</v>
      </c>
      <c r="N1" s="74">
        <f t="shared" si="0"/>
        <v>13</v>
      </c>
      <c r="O1" s="74">
        <f t="shared" si="0"/>
        <v>14</v>
      </c>
      <c r="P1" s="74">
        <f t="shared" si="0"/>
        <v>15</v>
      </c>
      <c r="Q1" s="74">
        <f t="shared" si="0"/>
        <v>16</v>
      </c>
      <c r="R1" s="74">
        <f t="shared" si="0"/>
        <v>17</v>
      </c>
      <c r="S1" s="74">
        <f t="shared" si="0"/>
        <v>18</v>
      </c>
      <c r="T1" s="74">
        <f t="shared" si="0"/>
        <v>19</v>
      </c>
      <c r="U1" s="26">
        <f t="shared" si="0"/>
        <v>20</v>
      </c>
      <c r="V1" s="43"/>
      <c r="W1" s="43"/>
      <c r="X1" s="43"/>
      <c r="Y1" s="43"/>
      <c r="Z1" s="43"/>
      <c r="AA1" s="43"/>
      <c r="AB1" s="43"/>
      <c r="AC1" s="43"/>
      <c r="AD1" s="43"/>
      <c r="AE1" s="43"/>
      <c r="AF1" s="43"/>
      <c r="AG1" s="43"/>
      <c r="AH1" s="43"/>
      <c r="AI1" s="43"/>
      <c r="AJ1" s="43"/>
      <c r="AK1" s="43"/>
      <c r="AL1" s="43"/>
      <c r="AM1" s="43"/>
      <c r="AN1" s="43"/>
      <c r="AO1" s="43"/>
    </row>
    <row r="2" spans="1:41" ht="13.5" customHeight="1" x14ac:dyDescent="0.3">
      <c r="A2" s="138" t="s">
        <v>118</v>
      </c>
      <c r="B2" s="75">
        <v>2021</v>
      </c>
      <c r="C2" s="75">
        <f t="shared" ref="C2:U2" si="1">B2+1</f>
        <v>2022</v>
      </c>
      <c r="D2" s="75">
        <f t="shared" si="1"/>
        <v>2023</v>
      </c>
      <c r="E2" s="75">
        <f t="shared" si="1"/>
        <v>2024</v>
      </c>
      <c r="F2" s="75">
        <f t="shared" si="1"/>
        <v>2025</v>
      </c>
      <c r="G2" s="75">
        <f t="shared" si="1"/>
        <v>2026</v>
      </c>
      <c r="H2" s="75">
        <f t="shared" si="1"/>
        <v>2027</v>
      </c>
      <c r="I2" s="75">
        <f t="shared" si="1"/>
        <v>2028</v>
      </c>
      <c r="J2" s="75">
        <f t="shared" si="1"/>
        <v>2029</v>
      </c>
      <c r="K2" s="75">
        <f t="shared" si="1"/>
        <v>2030</v>
      </c>
      <c r="L2" s="75">
        <f t="shared" si="1"/>
        <v>2031</v>
      </c>
      <c r="M2" s="75">
        <f t="shared" si="1"/>
        <v>2032</v>
      </c>
      <c r="N2" s="75">
        <f t="shared" si="1"/>
        <v>2033</v>
      </c>
      <c r="O2" s="75">
        <f t="shared" si="1"/>
        <v>2034</v>
      </c>
      <c r="P2" s="75">
        <f t="shared" si="1"/>
        <v>2035</v>
      </c>
      <c r="Q2" s="75">
        <f t="shared" si="1"/>
        <v>2036</v>
      </c>
      <c r="R2" s="75">
        <f t="shared" si="1"/>
        <v>2037</v>
      </c>
      <c r="S2" s="75">
        <f t="shared" si="1"/>
        <v>2038</v>
      </c>
      <c r="T2" s="75">
        <f t="shared" si="1"/>
        <v>2039</v>
      </c>
      <c r="U2" s="76">
        <f t="shared" si="1"/>
        <v>2040</v>
      </c>
      <c r="V2" s="43"/>
      <c r="W2" s="43"/>
      <c r="X2" s="43"/>
      <c r="Y2" s="43"/>
      <c r="Z2" s="43"/>
      <c r="AA2" s="43"/>
      <c r="AB2" s="43"/>
      <c r="AC2" s="43"/>
      <c r="AD2" s="43"/>
      <c r="AE2" s="43"/>
      <c r="AF2" s="43"/>
      <c r="AG2" s="43"/>
      <c r="AH2" s="43"/>
      <c r="AI2" s="43"/>
      <c r="AJ2" s="43"/>
      <c r="AK2" s="43"/>
      <c r="AL2" s="43"/>
      <c r="AM2" s="43"/>
      <c r="AN2" s="43"/>
      <c r="AO2" s="43"/>
    </row>
    <row r="3" spans="1:41" ht="13.5" customHeight="1" x14ac:dyDescent="0.3">
      <c r="A3" s="139" t="s">
        <v>92</v>
      </c>
      <c r="B3" s="77">
        <f ca="1">'3.Intake Form'!I87</f>
        <v>186048</v>
      </c>
      <c r="C3" s="77">
        <f ca="1">B3+(B3*'3.Intake Form'!$G$21)</f>
        <v>190699.2</v>
      </c>
      <c r="D3" s="77">
        <f ca="1">C3+(C3*'3.Intake Form'!$G$21)</f>
        <v>195466.68000000002</v>
      </c>
      <c r="E3" s="77">
        <f ca="1">D3+(D3*'3.Intake Form'!$G$21)</f>
        <v>200353.34700000001</v>
      </c>
      <c r="F3" s="77">
        <f ca="1">E3+(E3*'3.Intake Form'!$G$21)</f>
        <v>205362.18067500001</v>
      </c>
      <c r="G3" s="77">
        <f ca="1">F3+(F3*'3.Intake Form'!$G$21)</f>
        <v>210496.23519187502</v>
      </c>
      <c r="H3" s="77">
        <f ca="1">G3+(G3*'3.Intake Form'!$G$21)</f>
        <v>215758.64107167191</v>
      </c>
      <c r="I3" s="77">
        <f ca="1">H3+(H3*'3.Intake Form'!$G$21)</f>
        <v>221152.60709846372</v>
      </c>
      <c r="J3" s="77">
        <f ca="1">I3+(I3*'3.Intake Form'!$G$21)</f>
        <v>226681.42227592532</v>
      </c>
      <c r="K3" s="77">
        <f ca="1">J3+(J3*'3.Intake Form'!$G$21)</f>
        <v>232348.45783282345</v>
      </c>
      <c r="L3" s="77">
        <f ca="1">K3+(K3*'3.Intake Form'!$G$21)</f>
        <v>238157.16927864403</v>
      </c>
      <c r="M3" s="77">
        <f ca="1">L3+(L3*'3.Intake Form'!$G$21)</f>
        <v>244111.09851061011</v>
      </c>
      <c r="N3" s="77">
        <f ca="1">M3+(M3*'3.Intake Form'!$G$21)</f>
        <v>250213.87597337537</v>
      </c>
      <c r="O3" s="77">
        <f ca="1">N3+(N3*'3.Intake Form'!$G$21)</f>
        <v>256469.22287270974</v>
      </c>
      <c r="P3" s="77">
        <f ca="1">O3+(O3*'3.Intake Form'!$G$21)</f>
        <v>262880.95344452746</v>
      </c>
      <c r="Q3" s="77">
        <f ca="1">P3+(P3*'3.Intake Form'!$G$21)</f>
        <v>269452.97728064063</v>
      </c>
      <c r="R3" s="77">
        <f ca="1">Q3+(Q3*'3.Intake Form'!$G$21)</f>
        <v>276189.30171265663</v>
      </c>
      <c r="S3" s="77">
        <f ca="1">R3+(R3*'3.Intake Form'!$G$21)</f>
        <v>283094.03425547306</v>
      </c>
      <c r="T3" s="77">
        <f ca="1">S3+(S3*'3.Intake Form'!$G$21)</f>
        <v>290171.38511185988</v>
      </c>
      <c r="U3" s="78">
        <f ca="1">T3+(T3*'3.Intake Form'!$G$21)</f>
        <v>297425.66973965638</v>
      </c>
      <c r="V3" s="43"/>
      <c r="W3" s="43"/>
      <c r="X3" s="43"/>
      <c r="Y3" s="43"/>
      <c r="Z3" s="43"/>
      <c r="AA3" s="43"/>
      <c r="AB3" s="43"/>
      <c r="AC3" s="43"/>
      <c r="AD3" s="43"/>
      <c r="AE3" s="43"/>
      <c r="AF3" s="43"/>
      <c r="AG3" s="43"/>
      <c r="AH3" s="43"/>
      <c r="AI3" s="43"/>
      <c r="AJ3" s="43"/>
      <c r="AK3" s="43"/>
      <c r="AL3" s="43"/>
      <c r="AM3" s="43"/>
      <c r="AN3" s="43"/>
      <c r="AO3" s="43"/>
    </row>
    <row r="4" spans="1:41" ht="13.5" customHeight="1" x14ac:dyDescent="0.3">
      <c r="A4" s="139" t="str">
        <f>"Residential Vacancy ("&amp;TEXT('3.Intake Form'!$G$20,"0.0%")&amp;")"</f>
        <v>Residential Vacancy (10.0%)</v>
      </c>
      <c r="B4" s="77">
        <f ca="1">B3*-'3.Intake Form'!$G$20</f>
        <v>-18604.8</v>
      </c>
      <c r="C4" s="77">
        <f ca="1">C3*-'3.Intake Form'!$G$20</f>
        <v>-19069.920000000002</v>
      </c>
      <c r="D4" s="77">
        <f ca="1">D3*-'3.Intake Form'!$G$20</f>
        <v>-19546.668000000001</v>
      </c>
      <c r="E4" s="77">
        <f ca="1">E3*-'3.Intake Form'!$G$20</f>
        <v>-20035.334700000003</v>
      </c>
      <c r="F4" s="77">
        <f ca="1">F3*-'3.Intake Form'!$G$20</f>
        <v>-20536.218067500002</v>
      </c>
      <c r="G4" s="77">
        <f ca="1">G3*-'3.Intake Form'!$G$20</f>
        <v>-21049.623519187502</v>
      </c>
      <c r="H4" s="77">
        <f ca="1">H3*-'3.Intake Form'!$G$20</f>
        <v>-21575.864107167192</v>
      </c>
      <c r="I4" s="77">
        <f ca="1">I3*-'3.Intake Form'!$G$20</f>
        <v>-22115.260709846374</v>
      </c>
      <c r="J4" s="77">
        <f ca="1">J3*-'3.Intake Form'!$G$20</f>
        <v>-22668.142227592532</v>
      </c>
      <c r="K4" s="77">
        <f ca="1">K3*-'3.Intake Form'!$G$20</f>
        <v>-23234.845783282348</v>
      </c>
      <c r="L4" s="77">
        <f ca="1">L3*-'3.Intake Form'!$G$20</f>
        <v>-23815.716927864403</v>
      </c>
      <c r="M4" s="77">
        <f ca="1">M3*-'3.Intake Form'!$G$20</f>
        <v>-24411.109851061014</v>
      </c>
      <c r="N4" s="77">
        <f ca="1">N3*-'3.Intake Form'!$G$20</f>
        <v>-25021.38759733754</v>
      </c>
      <c r="O4" s="77">
        <f ca="1">O3*-'3.Intake Form'!$G$20</f>
        <v>-25646.922287270976</v>
      </c>
      <c r="P4" s="77">
        <f ca="1">P3*-'3.Intake Form'!$G$20</f>
        <v>-26288.095344452748</v>
      </c>
      <c r="Q4" s="77">
        <f ca="1">Q3*-'3.Intake Form'!$G$20</f>
        <v>-26945.297728064063</v>
      </c>
      <c r="R4" s="77">
        <f ca="1">R3*-'3.Intake Form'!$G$20</f>
        <v>-27618.930171265663</v>
      </c>
      <c r="S4" s="77">
        <f ca="1">S3*-'3.Intake Form'!$G$20</f>
        <v>-28309.403425547309</v>
      </c>
      <c r="T4" s="77">
        <f ca="1">T3*-'3.Intake Form'!$G$20</f>
        <v>-29017.138511185989</v>
      </c>
      <c r="U4" s="78">
        <f ca="1">U3*-'3.Intake Form'!$G$20</f>
        <v>-29742.56697396564</v>
      </c>
      <c r="V4" s="43"/>
      <c r="W4" s="43"/>
      <c r="X4" s="43"/>
      <c r="Y4" s="43"/>
      <c r="Z4" s="43"/>
      <c r="AA4" s="43"/>
      <c r="AB4" s="43"/>
      <c r="AC4" s="43"/>
      <c r="AD4" s="43"/>
      <c r="AE4" s="43"/>
      <c r="AF4" s="43"/>
      <c r="AG4" s="43"/>
      <c r="AH4" s="43"/>
      <c r="AI4" s="43"/>
      <c r="AJ4" s="43"/>
      <c r="AK4" s="43"/>
      <c r="AL4" s="43"/>
      <c r="AM4" s="43"/>
      <c r="AN4" s="43"/>
      <c r="AO4" s="43"/>
    </row>
    <row r="5" spans="1:41" ht="13.5" customHeight="1" x14ac:dyDescent="0.3">
      <c r="A5" s="139" t="s">
        <v>119</v>
      </c>
      <c r="B5" s="77">
        <f>'3.Intake Form'!B74</f>
        <v>0</v>
      </c>
      <c r="C5" s="77">
        <f>B5+(B5*'3.Intake Form'!$G$21)</f>
        <v>0</v>
      </c>
      <c r="D5" s="77">
        <f>C5+(C5*'3.Intake Form'!$G$21)</f>
        <v>0</v>
      </c>
      <c r="E5" s="77">
        <f>D5+(D5*'3.Intake Form'!$G$21)</f>
        <v>0</v>
      </c>
      <c r="F5" s="77">
        <f>E5+(E5*'3.Intake Form'!$G$21)</f>
        <v>0</v>
      </c>
      <c r="G5" s="77">
        <f>F5+(F5*'3.Intake Form'!$G$21)</f>
        <v>0</v>
      </c>
      <c r="H5" s="77">
        <f>G5+(G5*'3.Intake Form'!$G$21)</f>
        <v>0</v>
      </c>
      <c r="I5" s="77">
        <f>H5+(H5*'3.Intake Form'!$G$21)</f>
        <v>0</v>
      </c>
      <c r="J5" s="77">
        <f>I5+(I5*'3.Intake Form'!$G$21)</f>
        <v>0</v>
      </c>
      <c r="K5" s="77">
        <f>J5+(J5*'3.Intake Form'!$G$21)</f>
        <v>0</v>
      </c>
      <c r="L5" s="77">
        <f>K5+(K5*'3.Intake Form'!$G$21)</f>
        <v>0</v>
      </c>
      <c r="M5" s="77">
        <f>L5+(L5*'3.Intake Form'!$G$21)</f>
        <v>0</v>
      </c>
      <c r="N5" s="77">
        <f>M5+(M5*'3.Intake Form'!$G$21)</f>
        <v>0</v>
      </c>
      <c r="O5" s="77">
        <f>N5+(N5*'3.Intake Form'!$G$21)</f>
        <v>0</v>
      </c>
      <c r="P5" s="77">
        <f>O5+(O5*'3.Intake Form'!$G$21)</f>
        <v>0</v>
      </c>
      <c r="Q5" s="77">
        <f>P5+(P5*'3.Intake Form'!$G$21)</f>
        <v>0</v>
      </c>
      <c r="R5" s="77">
        <f>Q5+(Q5*'3.Intake Form'!$G$21)</f>
        <v>0</v>
      </c>
      <c r="S5" s="77">
        <f>R5+(R5*'3.Intake Form'!$G$21)</f>
        <v>0</v>
      </c>
      <c r="T5" s="77">
        <f>S5+(S5*'3.Intake Form'!$G$21)</f>
        <v>0</v>
      </c>
      <c r="U5" s="78">
        <f>T5+(T5*'3.Intake Form'!$G$21)</f>
        <v>0</v>
      </c>
      <c r="V5" s="43"/>
      <c r="W5" s="43"/>
      <c r="X5" s="43"/>
      <c r="Y5" s="43"/>
      <c r="Z5" s="43"/>
      <c r="AA5" s="43"/>
      <c r="AB5" s="43"/>
      <c r="AC5" s="43"/>
      <c r="AD5" s="43"/>
      <c r="AE5" s="43"/>
      <c r="AF5" s="43"/>
      <c r="AG5" s="43"/>
      <c r="AH5" s="43"/>
      <c r="AI5" s="43"/>
      <c r="AJ5" s="43"/>
      <c r="AK5" s="43"/>
      <c r="AL5" s="43"/>
      <c r="AM5" s="43"/>
      <c r="AN5" s="43"/>
      <c r="AO5" s="43"/>
    </row>
    <row r="6" spans="1:41" ht="15.75" customHeight="1" x14ac:dyDescent="0.3">
      <c r="A6" s="139" t="str">
        <f>"Laundry Vacancy ("&amp;TEXT('3.Intake Form'!$G$20,"0.0%")&amp;")"</f>
        <v>Laundry Vacancy (10.0%)</v>
      </c>
      <c r="B6" s="77">
        <f>B5*-'3.Intake Form'!$G$20</f>
        <v>0</v>
      </c>
      <c r="C6" s="77">
        <f>C5*-'3.Intake Form'!$G$20</f>
        <v>0</v>
      </c>
      <c r="D6" s="77">
        <f>D5*-'3.Intake Form'!$G$20</f>
        <v>0</v>
      </c>
      <c r="E6" s="77">
        <f>E5*-'3.Intake Form'!$G$20</f>
        <v>0</v>
      </c>
      <c r="F6" s="77">
        <f>F5*-'3.Intake Form'!$G$20</f>
        <v>0</v>
      </c>
      <c r="G6" s="77">
        <f>G5*-'3.Intake Form'!$G$20</f>
        <v>0</v>
      </c>
      <c r="H6" s="77">
        <f>H5*-'3.Intake Form'!$G$20</f>
        <v>0</v>
      </c>
      <c r="I6" s="77">
        <f>I5*-'3.Intake Form'!$G$20</f>
        <v>0</v>
      </c>
      <c r="J6" s="77">
        <f>J5*-'3.Intake Form'!$G$20</f>
        <v>0</v>
      </c>
      <c r="K6" s="77">
        <f>K5*-'3.Intake Form'!$G$20</f>
        <v>0</v>
      </c>
      <c r="L6" s="77">
        <f>L5*-'3.Intake Form'!$G$20</f>
        <v>0</v>
      </c>
      <c r="M6" s="77">
        <f>M5*-'3.Intake Form'!$G$20</f>
        <v>0</v>
      </c>
      <c r="N6" s="77">
        <f>N5*-'3.Intake Form'!$G$20</f>
        <v>0</v>
      </c>
      <c r="O6" s="77">
        <f>O5*-'3.Intake Form'!$G$20</f>
        <v>0</v>
      </c>
      <c r="P6" s="77">
        <f>P5*-'3.Intake Form'!$G$20</f>
        <v>0</v>
      </c>
      <c r="Q6" s="77">
        <f>Q5*-'3.Intake Form'!$G$20</f>
        <v>0</v>
      </c>
      <c r="R6" s="77">
        <f>R5*-'3.Intake Form'!$G$20</f>
        <v>0</v>
      </c>
      <c r="S6" s="77">
        <f>S5*-'3.Intake Form'!$G$20</f>
        <v>0</v>
      </c>
      <c r="T6" s="77">
        <f>T5*-'3.Intake Form'!$G$20</f>
        <v>0</v>
      </c>
      <c r="U6" s="78">
        <f>U5*-'3.Intake Form'!$G$20</f>
        <v>0</v>
      </c>
      <c r="V6" s="43"/>
      <c r="W6" s="43"/>
      <c r="X6" s="43"/>
      <c r="Y6" s="43"/>
      <c r="Z6" s="43"/>
      <c r="AA6" s="43"/>
      <c r="AB6" s="43"/>
      <c r="AC6" s="43"/>
      <c r="AD6" s="43"/>
      <c r="AE6" s="43"/>
      <c r="AF6" s="43"/>
      <c r="AG6" s="43"/>
      <c r="AH6" s="43"/>
      <c r="AI6" s="43"/>
      <c r="AJ6" s="43"/>
      <c r="AK6" s="43"/>
      <c r="AL6" s="43"/>
      <c r="AM6" s="43"/>
      <c r="AN6" s="43"/>
      <c r="AO6" s="43"/>
    </row>
    <row r="7" spans="1:41" ht="15.75" customHeight="1" x14ac:dyDescent="0.3">
      <c r="A7" s="139" t="s">
        <v>120</v>
      </c>
      <c r="B7" s="77">
        <f>'3.Intake Form'!$B$79</f>
        <v>0</v>
      </c>
      <c r="C7" s="77">
        <f>B7+(B7*'3.Intake Form'!$G$21)</f>
        <v>0</v>
      </c>
      <c r="D7" s="77">
        <f>C7+(C7*'3.Intake Form'!$G$21)</f>
        <v>0</v>
      </c>
      <c r="E7" s="77">
        <f>D7+(D7*'3.Intake Form'!$G$21)</f>
        <v>0</v>
      </c>
      <c r="F7" s="77">
        <f>E7+(E7*'3.Intake Form'!$G$21)</f>
        <v>0</v>
      </c>
      <c r="G7" s="77">
        <f>F7+(F7*'3.Intake Form'!$G$21)</f>
        <v>0</v>
      </c>
      <c r="H7" s="77">
        <f>G7+(G7*'3.Intake Form'!$G$21)</f>
        <v>0</v>
      </c>
      <c r="I7" s="77">
        <f>H7+(H7*'3.Intake Form'!$G$21)</f>
        <v>0</v>
      </c>
      <c r="J7" s="77">
        <f>I7+(I7*'3.Intake Form'!$G$21)</f>
        <v>0</v>
      </c>
      <c r="K7" s="77">
        <f>J7+(J7*'3.Intake Form'!$G$21)</f>
        <v>0</v>
      </c>
      <c r="L7" s="77">
        <f>K7+(K7*'3.Intake Form'!$G$21)</f>
        <v>0</v>
      </c>
      <c r="M7" s="77">
        <f>L7+(L7*'3.Intake Form'!$G$21)</f>
        <v>0</v>
      </c>
      <c r="N7" s="77">
        <f>M7+(M7*'3.Intake Form'!$G$21)</f>
        <v>0</v>
      </c>
      <c r="O7" s="77">
        <f>N7+(N7*'3.Intake Form'!$G$21)</f>
        <v>0</v>
      </c>
      <c r="P7" s="77">
        <f>O7+(O7*'3.Intake Form'!$G$21)</f>
        <v>0</v>
      </c>
      <c r="Q7" s="77">
        <f>P7+(P7*'3.Intake Form'!$G$21)</f>
        <v>0</v>
      </c>
      <c r="R7" s="77">
        <f>Q7+(Q7*'3.Intake Form'!$G$21)</f>
        <v>0</v>
      </c>
      <c r="S7" s="77">
        <f>R7+(R7*'3.Intake Form'!$G$21)</f>
        <v>0</v>
      </c>
      <c r="T7" s="77">
        <f>S7+(S7*'3.Intake Form'!$G$21)</f>
        <v>0</v>
      </c>
      <c r="U7" s="78">
        <f>T7+(T7*'3.Intake Form'!$G$21)</f>
        <v>0</v>
      </c>
      <c r="V7" s="43"/>
      <c r="W7" s="43"/>
      <c r="X7" s="43"/>
      <c r="Y7" s="43"/>
      <c r="Z7" s="43"/>
      <c r="AA7" s="43"/>
      <c r="AB7" s="43"/>
      <c r="AC7" s="43"/>
      <c r="AD7" s="43"/>
      <c r="AE7" s="43"/>
      <c r="AF7" s="43"/>
      <c r="AG7" s="43"/>
      <c r="AH7" s="43"/>
      <c r="AI7" s="43"/>
      <c r="AJ7" s="43"/>
      <c r="AK7" s="43"/>
      <c r="AL7" s="43"/>
      <c r="AM7" s="43"/>
      <c r="AN7" s="43"/>
      <c r="AO7" s="43"/>
    </row>
    <row r="8" spans="1:41" ht="15.75" customHeight="1" x14ac:dyDescent="0.3">
      <c r="A8" s="139" t="str">
        <f>"Parking Vacancy ("&amp;TEXT('3.Intake Form'!$G$20,"0.0%")&amp;")"</f>
        <v>Parking Vacancy (10.0%)</v>
      </c>
      <c r="B8" s="77">
        <f>B7*-'3.Intake Form'!$G$20</f>
        <v>0</v>
      </c>
      <c r="C8" s="77">
        <f>C7*-'3.Intake Form'!$G$20</f>
        <v>0</v>
      </c>
      <c r="D8" s="77">
        <f>D7*-'3.Intake Form'!$G$20</f>
        <v>0</v>
      </c>
      <c r="E8" s="77">
        <f>E7*-'3.Intake Form'!$G$20</f>
        <v>0</v>
      </c>
      <c r="F8" s="77">
        <f>F7*-'3.Intake Form'!$G$20</f>
        <v>0</v>
      </c>
      <c r="G8" s="77">
        <f>G7*-'3.Intake Form'!$G$20</f>
        <v>0</v>
      </c>
      <c r="H8" s="77">
        <f>H7*-'3.Intake Form'!$G$20</f>
        <v>0</v>
      </c>
      <c r="I8" s="77">
        <f>I7*-'3.Intake Form'!$G$20</f>
        <v>0</v>
      </c>
      <c r="J8" s="77">
        <f>J7*-'3.Intake Form'!$G$20</f>
        <v>0</v>
      </c>
      <c r="K8" s="77">
        <f>K7*-'3.Intake Form'!$G$20</f>
        <v>0</v>
      </c>
      <c r="L8" s="77">
        <f>L7*-'3.Intake Form'!$G$20</f>
        <v>0</v>
      </c>
      <c r="M8" s="77">
        <f>M7*-'3.Intake Form'!$G$20</f>
        <v>0</v>
      </c>
      <c r="N8" s="77">
        <f>N7*-'3.Intake Form'!$G$20</f>
        <v>0</v>
      </c>
      <c r="O8" s="77">
        <f>O7*-'3.Intake Form'!$G$20</f>
        <v>0</v>
      </c>
      <c r="P8" s="77">
        <f>P7*-'3.Intake Form'!$G$20</f>
        <v>0</v>
      </c>
      <c r="Q8" s="77">
        <f>Q7*-'3.Intake Form'!$G$20</f>
        <v>0</v>
      </c>
      <c r="R8" s="77">
        <f>R7*-'3.Intake Form'!$G$20</f>
        <v>0</v>
      </c>
      <c r="S8" s="77">
        <f>S7*-'3.Intake Form'!$G$20</f>
        <v>0</v>
      </c>
      <c r="T8" s="77">
        <f>T7*-'3.Intake Form'!$G$20</f>
        <v>0</v>
      </c>
      <c r="U8" s="78">
        <f>U7*-'3.Intake Form'!$G$20</f>
        <v>0</v>
      </c>
      <c r="V8" s="43"/>
      <c r="W8" s="43"/>
      <c r="X8" s="43"/>
      <c r="Y8" s="43"/>
      <c r="Z8" s="43"/>
      <c r="AA8" s="43"/>
      <c r="AB8" s="43"/>
      <c r="AC8" s="43"/>
      <c r="AD8" s="43"/>
      <c r="AE8" s="43"/>
      <c r="AF8" s="43"/>
      <c r="AG8" s="43"/>
      <c r="AH8" s="43"/>
      <c r="AI8" s="43"/>
      <c r="AJ8" s="43"/>
      <c r="AK8" s="43"/>
      <c r="AL8" s="43"/>
      <c r="AM8" s="43"/>
      <c r="AN8" s="43"/>
      <c r="AO8" s="43"/>
    </row>
    <row r="9" spans="1:41" ht="15.75" customHeight="1" x14ac:dyDescent="0.3">
      <c r="A9" s="139" t="s">
        <v>121</v>
      </c>
      <c r="B9" s="77">
        <f>'3.Intake Form'!F99</f>
        <v>216000</v>
      </c>
      <c r="C9" s="77">
        <f>B9*(1+'3.Intake Form'!$G$21)</f>
        <v>221399.99999999997</v>
      </c>
      <c r="D9" s="77">
        <f>C9*(1+'3.Intake Form'!$G$21)</f>
        <v>226934.99999999994</v>
      </c>
      <c r="E9" s="77">
        <f>D9*(1+'3.Intake Form'!$G$21)</f>
        <v>232608.37499999991</v>
      </c>
      <c r="F9" s="77">
        <f>E9*(1+'3.Intake Form'!$G$21)</f>
        <v>238423.58437499989</v>
      </c>
      <c r="G9" s="77">
        <f>F9*(1+'3.Intake Form'!$G$21)</f>
        <v>244384.17398437485</v>
      </c>
      <c r="H9" s="77">
        <f>G9*(1+'3.Intake Form'!$G$21)</f>
        <v>250493.7783339842</v>
      </c>
      <c r="I9" s="77">
        <f>H9*(1+'3.Intake Form'!$G$21)</f>
        <v>256756.12279233377</v>
      </c>
      <c r="J9" s="77">
        <f>I9*(1+'3.Intake Form'!$G$21)</f>
        <v>263175.02586214209</v>
      </c>
      <c r="K9" s="77">
        <f>J9*(1+'3.Intake Form'!$G$21)</f>
        <v>269754.40150869562</v>
      </c>
      <c r="L9" s="77">
        <f>K9*(1+'3.Intake Form'!$G$21)</f>
        <v>276498.26154641301</v>
      </c>
      <c r="M9" s="77">
        <f>L9*(1+'3.Intake Form'!$G$21)</f>
        <v>283410.71808507328</v>
      </c>
      <c r="N9" s="77">
        <f>M9*(1+'3.Intake Form'!$G$21)</f>
        <v>290495.98603720008</v>
      </c>
      <c r="O9" s="77">
        <f>N9*(1+'3.Intake Form'!$G$21)</f>
        <v>297758.38568813005</v>
      </c>
      <c r="P9" s="77">
        <f>O9*(1+'3.Intake Form'!$G$21)</f>
        <v>305202.34533033328</v>
      </c>
      <c r="Q9" s="77">
        <f>P9*(1+'3.Intake Form'!$G$21)</f>
        <v>312832.40396359161</v>
      </c>
      <c r="R9" s="77">
        <f>Q9*(1+'3.Intake Form'!$G$21)</f>
        <v>320653.21406268136</v>
      </c>
      <c r="S9" s="77">
        <f>R9*(1+'3.Intake Form'!$G$21)</f>
        <v>328669.54441424838</v>
      </c>
      <c r="T9" s="77">
        <f>S9*(1+'3.Intake Form'!$G$21)</f>
        <v>336886.28302460455</v>
      </c>
      <c r="U9" s="78">
        <f>T9*(1+'3.Intake Form'!$G$21)</f>
        <v>345308.44010021962</v>
      </c>
      <c r="V9" s="43"/>
      <c r="W9" s="43"/>
      <c r="X9" s="43"/>
      <c r="Y9" s="43"/>
      <c r="Z9" s="43"/>
      <c r="AA9" s="43"/>
      <c r="AB9" s="43"/>
      <c r="AC9" s="43"/>
      <c r="AD9" s="43"/>
      <c r="AE9" s="43"/>
      <c r="AF9" s="43"/>
      <c r="AG9" s="43"/>
      <c r="AH9" s="43"/>
      <c r="AI9" s="43"/>
      <c r="AJ9" s="43"/>
      <c r="AK9" s="43"/>
      <c r="AL9" s="43"/>
      <c r="AM9" s="43"/>
      <c r="AN9" s="43"/>
      <c r="AO9" s="43"/>
    </row>
    <row r="10" spans="1:41" ht="15.75" customHeight="1" x14ac:dyDescent="0.3">
      <c r="A10" s="139" t="str">
        <f>"Commercial Vacancy ("&amp;TEXT('3.Intake Form'!$G$28,"0.0%")&amp;")"</f>
        <v>Commercial Vacancy (20.0%)</v>
      </c>
      <c r="B10" s="77">
        <f>-B9*'3.Intake Form'!$G$28</f>
        <v>-43200</v>
      </c>
      <c r="C10" s="77">
        <f>-C9*'3.Intake Form'!$G$28</f>
        <v>-44280</v>
      </c>
      <c r="D10" s="77">
        <f>-D9*'3.Intake Form'!$G$28</f>
        <v>-45386.999999999993</v>
      </c>
      <c r="E10" s="77">
        <f>-E9*'3.Intake Form'!$G$28</f>
        <v>-46521.674999999988</v>
      </c>
      <c r="F10" s="77">
        <f>-F9*'3.Intake Form'!$G$28</f>
        <v>-47684.716874999984</v>
      </c>
      <c r="G10" s="77">
        <f>-G9*'3.Intake Form'!$G$28</f>
        <v>-48876.834796874973</v>
      </c>
      <c r="H10" s="77">
        <f>-H9*'3.Intake Form'!$G$28</f>
        <v>-50098.755666796846</v>
      </c>
      <c r="I10" s="77">
        <f>-I9*'3.Intake Form'!$G$28</f>
        <v>-51351.224558466754</v>
      </c>
      <c r="J10" s="77">
        <f>-J9*'3.Intake Form'!$G$28</f>
        <v>-52635.00517242842</v>
      </c>
      <c r="K10" s="77">
        <f>-K9*'3.Intake Form'!$G$28</f>
        <v>-53950.880301739126</v>
      </c>
      <c r="L10" s="77">
        <f>-L9*'3.Intake Form'!$G$28</f>
        <v>-55299.652309282603</v>
      </c>
      <c r="M10" s="77">
        <f>-M9*'3.Intake Form'!$G$28</f>
        <v>-56682.143617014663</v>
      </c>
      <c r="N10" s="77">
        <f>-N9*'3.Intake Form'!$G$28</f>
        <v>-58099.197207440018</v>
      </c>
      <c r="O10" s="77">
        <f>-O9*'3.Intake Form'!$G$28</f>
        <v>-59551.677137626015</v>
      </c>
      <c r="P10" s="77">
        <f>-P9*'3.Intake Form'!$G$28</f>
        <v>-61040.46906606666</v>
      </c>
      <c r="Q10" s="77">
        <f>-Q9*'3.Intake Form'!$G$28</f>
        <v>-62566.480792718328</v>
      </c>
      <c r="R10" s="77">
        <f>-R9*'3.Intake Form'!$G$28</f>
        <v>-64130.642812536273</v>
      </c>
      <c r="S10" s="77">
        <f>-S9*'3.Intake Form'!$G$28</f>
        <v>-65733.908882849675</v>
      </c>
      <c r="T10" s="77">
        <f>-T9*'3.Intake Form'!$G$28</f>
        <v>-67377.256604920913</v>
      </c>
      <c r="U10" s="78">
        <f>-U9*'3.Intake Form'!$G$28</f>
        <v>-69061.688020043934</v>
      </c>
      <c r="V10" s="43"/>
      <c r="W10" s="43"/>
      <c r="X10" s="43"/>
      <c r="Y10" s="43"/>
      <c r="Z10" s="43"/>
      <c r="AA10" s="43"/>
      <c r="AB10" s="43"/>
      <c r="AC10" s="43"/>
      <c r="AD10" s="43"/>
      <c r="AE10" s="43"/>
      <c r="AF10" s="43"/>
      <c r="AG10" s="43"/>
      <c r="AH10" s="43"/>
      <c r="AI10" s="43"/>
      <c r="AJ10" s="43"/>
      <c r="AK10" s="43"/>
      <c r="AL10" s="43"/>
      <c r="AM10" s="43"/>
      <c r="AN10" s="43"/>
      <c r="AO10" s="43"/>
    </row>
    <row r="11" spans="1:41" ht="15.75" customHeight="1" x14ac:dyDescent="0.3">
      <c r="A11" s="139" t="s">
        <v>122</v>
      </c>
      <c r="B11" s="77">
        <f t="shared" ref="B11:U11" ca="1" si="2">SUM(B3:B10)</f>
        <v>340243.20000000001</v>
      </c>
      <c r="C11" s="77">
        <f t="shared" ca="1" si="2"/>
        <v>348749.27999999997</v>
      </c>
      <c r="D11" s="77">
        <f t="shared" ca="1" si="2"/>
        <v>357468.01199999999</v>
      </c>
      <c r="E11" s="77">
        <f t="shared" ca="1" si="2"/>
        <v>366404.71229999996</v>
      </c>
      <c r="F11" s="77">
        <f t="shared" ca="1" si="2"/>
        <v>375564.8301074999</v>
      </c>
      <c r="G11" s="77">
        <f t="shared" ca="1" si="2"/>
        <v>384953.95086018741</v>
      </c>
      <c r="H11" s="77">
        <f t="shared" ca="1" si="2"/>
        <v>394577.79963169212</v>
      </c>
      <c r="I11" s="77">
        <f t="shared" ca="1" si="2"/>
        <v>404442.24462248437</v>
      </c>
      <c r="J11" s="77">
        <f t="shared" ca="1" si="2"/>
        <v>414553.30073804641</v>
      </c>
      <c r="K11" s="77">
        <f t="shared" ca="1" si="2"/>
        <v>424917.13325649756</v>
      </c>
      <c r="L11" s="77">
        <f t="shared" ca="1" si="2"/>
        <v>435540.06158790999</v>
      </c>
      <c r="M11" s="77">
        <f t="shared" ca="1" si="2"/>
        <v>446428.56312760769</v>
      </c>
      <c r="N11" s="77">
        <f t="shared" ca="1" si="2"/>
        <v>457589.27720579784</v>
      </c>
      <c r="O11" s="77">
        <f t="shared" ca="1" si="2"/>
        <v>469029.00913594279</v>
      </c>
      <c r="P11" s="77">
        <f t="shared" ca="1" si="2"/>
        <v>480754.73436434136</v>
      </c>
      <c r="Q11" s="77">
        <f t="shared" ca="1" si="2"/>
        <v>492773.60272344982</v>
      </c>
      <c r="R11" s="77">
        <f t="shared" ca="1" si="2"/>
        <v>505092.94279153604</v>
      </c>
      <c r="S11" s="77">
        <f t="shared" ca="1" si="2"/>
        <v>517720.26636132452</v>
      </c>
      <c r="T11" s="77">
        <f t="shared" ca="1" si="2"/>
        <v>530663.27302035748</v>
      </c>
      <c r="U11" s="78">
        <f t="shared" ca="1" si="2"/>
        <v>543929.85484586644</v>
      </c>
      <c r="V11" s="43"/>
      <c r="W11" s="43"/>
      <c r="X11" s="43"/>
      <c r="Y11" s="43"/>
      <c r="Z11" s="43"/>
      <c r="AA11" s="43"/>
      <c r="AB11" s="43"/>
      <c r="AC11" s="43"/>
      <c r="AD11" s="43"/>
      <c r="AE11" s="43"/>
      <c r="AF11" s="43"/>
      <c r="AG11" s="43"/>
      <c r="AH11" s="43"/>
      <c r="AI11" s="43"/>
      <c r="AJ11" s="43"/>
      <c r="AK11" s="43"/>
      <c r="AL11" s="43"/>
      <c r="AM11" s="43"/>
      <c r="AN11" s="43"/>
      <c r="AO11" s="43"/>
    </row>
    <row r="12" spans="1:41" ht="15.75" customHeight="1" x14ac:dyDescent="0.3">
      <c r="A12" s="129"/>
      <c r="B12" s="77"/>
      <c r="C12" s="77"/>
      <c r="D12" s="77"/>
      <c r="E12" s="77"/>
      <c r="F12" s="77"/>
      <c r="G12" s="77"/>
      <c r="H12" s="77"/>
      <c r="I12" s="77"/>
      <c r="J12" s="77"/>
      <c r="K12" s="77"/>
      <c r="L12" s="77"/>
      <c r="M12" s="77"/>
      <c r="N12" s="77"/>
      <c r="O12" s="77"/>
      <c r="P12" s="77"/>
      <c r="Q12" s="77"/>
      <c r="R12" s="77"/>
      <c r="S12" s="77"/>
      <c r="T12" s="77"/>
      <c r="U12" s="78"/>
      <c r="V12" s="43"/>
      <c r="W12" s="43"/>
      <c r="X12" s="43"/>
      <c r="Y12" s="43"/>
      <c r="Z12" s="43"/>
      <c r="AA12" s="43"/>
      <c r="AB12" s="43"/>
      <c r="AC12" s="43"/>
      <c r="AD12" s="43"/>
      <c r="AE12" s="43"/>
      <c r="AF12" s="43"/>
      <c r="AG12" s="43"/>
      <c r="AH12" s="43"/>
      <c r="AI12" s="43"/>
      <c r="AJ12" s="43"/>
      <c r="AK12" s="43"/>
      <c r="AL12" s="43"/>
      <c r="AM12" s="43"/>
      <c r="AN12" s="43"/>
      <c r="AO12" s="43"/>
    </row>
    <row r="13" spans="1:41" ht="15.75" customHeight="1" x14ac:dyDescent="0.3">
      <c r="A13" s="139" t="s">
        <v>123</v>
      </c>
      <c r="B13" s="77">
        <f>'3.Intake Form'!G23*'3.Intake Form'!B7</f>
        <v>60000</v>
      </c>
      <c r="C13" s="77">
        <f>B13+(B13*'3.Intake Form'!$G$22)</f>
        <v>62100</v>
      </c>
      <c r="D13" s="77">
        <f>C13+(C13*'3.Intake Form'!$G$22)</f>
        <v>64273.5</v>
      </c>
      <c r="E13" s="77">
        <f>D13+(D13*'3.Intake Form'!$G$22)</f>
        <v>66523.072499999995</v>
      </c>
      <c r="F13" s="77">
        <f>E13+(E13*'3.Intake Form'!$G$22)</f>
        <v>68851.380037499999</v>
      </c>
      <c r="G13" s="77">
        <f>F13+(F13*'3.Intake Form'!$G$22)</f>
        <v>71261.178338812504</v>
      </c>
      <c r="H13" s="77">
        <f>G13+(G13*'3.Intake Form'!$G$22)</f>
        <v>73755.319580670941</v>
      </c>
      <c r="I13" s="77">
        <f>H13+(H13*'3.Intake Form'!$G$22)</f>
        <v>76336.755765994429</v>
      </c>
      <c r="J13" s="77">
        <f>I13+(I13*'3.Intake Form'!$G$22)</f>
        <v>79008.542217804235</v>
      </c>
      <c r="K13" s="77">
        <f>J13+(J13*'3.Intake Form'!$G$22)</f>
        <v>81773.841195427391</v>
      </c>
      <c r="L13" s="77">
        <f>K13+(K13*'3.Intake Form'!$G$22)</f>
        <v>84635.925637267355</v>
      </c>
      <c r="M13" s="77">
        <f>L13+(L13*'3.Intake Form'!$G$22)</f>
        <v>87598.183034571717</v>
      </c>
      <c r="N13" s="77">
        <f>M13+(M13*'3.Intake Form'!$G$22)</f>
        <v>90664.119440781724</v>
      </c>
      <c r="O13" s="77">
        <f>N13+(N13*'3.Intake Form'!$G$22)</f>
        <v>93837.363621209079</v>
      </c>
      <c r="P13" s="77">
        <f>O13+(O13*'3.Intake Form'!$G$22)</f>
        <v>97121.6713479514</v>
      </c>
      <c r="Q13" s="77">
        <f>P13+(P13*'3.Intake Form'!$G$22)</f>
        <v>100520.92984512969</v>
      </c>
      <c r="R13" s="77">
        <f>Q13+(Q13*'3.Intake Form'!$G$22)</f>
        <v>104039.16238970924</v>
      </c>
      <c r="S13" s="77">
        <f>R13+(R13*'3.Intake Form'!$G$22)</f>
        <v>107680.53307334906</v>
      </c>
      <c r="T13" s="77">
        <f>S13+(S13*'3.Intake Form'!$G$22)</f>
        <v>111449.35173091627</v>
      </c>
      <c r="U13" s="78">
        <f>T13+(T13*'3.Intake Form'!$G$22)</f>
        <v>115350.07904149833</v>
      </c>
      <c r="V13" s="43"/>
      <c r="W13" s="43"/>
      <c r="X13" s="43"/>
      <c r="Y13" s="43"/>
      <c r="Z13" s="43"/>
      <c r="AA13" s="43"/>
      <c r="AB13" s="43"/>
      <c r="AC13" s="43"/>
      <c r="AD13" s="43"/>
      <c r="AE13" s="43"/>
      <c r="AF13" s="43"/>
      <c r="AG13" s="43"/>
      <c r="AH13" s="43"/>
      <c r="AI13" s="43"/>
      <c r="AJ13" s="43"/>
      <c r="AK13" s="43"/>
      <c r="AL13" s="43"/>
      <c r="AM13" s="43"/>
      <c r="AN13" s="43"/>
      <c r="AO13" s="43"/>
    </row>
    <row r="14" spans="1:41" ht="15.75" customHeight="1" x14ac:dyDescent="0.3">
      <c r="A14" s="139" t="s">
        <v>73</v>
      </c>
      <c r="B14" s="77">
        <f>'3.Intake Form'!G24*'3.Intake Form'!B7</f>
        <v>4800</v>
      </c>
      <c r="C14" s="77">
        <f t="shared" ref="C14:U14" si="3">B14</f>
        <v>4800</v>
      </c>
      <c r="D14" s="77">
        <f t="shared" si="3"/>
        <v>4800</v>
      </c>
      <c r="E14" s="77">
        <f t="shared" si="3"/>
        <v>4800</v>
      </c>
      <c r="F14" s="77">
        <f t="shared" si="3"/>
        <v>4800</v>
      </c>
      <c r="G14" s="77">
        <f t="shared" si="3"/>
        <v>4800</v>
      </c>
      <c r="H14" s="77">
        <f t="shared" si="3"/>
        <v>4800</v>
      </c>
      <c r="I14" s="77">
        <f t="shared" si="3"/>
        <v>4800</v>
      </c>
      <c r="J14" s="77">
        <f t="shared" si="3"/>
        <v>4800</v>
      </c>
      <c r="K14" s="77">
        <f t="shared" si="3"/>
        <v>4800</v>
      </c>
      <c r="L14" s="77">
        <f t="shared" si="3"/>
        <v>4800</v>
      </c>
      <c r="M14" s="77">
        <f t="shared" si="3"/>
        <v>4800</v>
      </c>
      <c r="N14" s="77">
        <f t="shared" si="3"/>
        <v>4800</v>
      </c>
      <c r="O14" s="77">
        <f t="shared" si="3"/>
        <v>4800</v>
      </c>
      <c r="P14" s="77">
        <f t="shared" si="3"/>
        <v>4800</v>
      </c>
      <c r="Q14" s="77">
        <f t="shared" si="3"/>
        <v>4800</v>
      </c>
      <c r="R14" s="77">
        <f t="shared" si="3"/>
        <v>4800</v>
      </c>
      <c r="S14" s="77">
        <f t="shared" si="3"/>
        <v>4800</v>
      </c>
      <c r="T14" s="77">
        <f t="shared" si="3"/>
        <v>4800</v>
      </c>
      <c r="U14" s="78">
        <f t="shared" si="3"/>
        <v>4800</v>
      </c>
      <c r="V14" s="43"/>
      <c r="W14" s="43"/>
      <c r="X14" s="43"/>
      <c r="Y14" s="43"/>
      <c r="Z14" s="43"/>
      <c r="AA14" s="43"/>
      <c r="AB14" s="43"/>
      <c r="AC14" s="43"/>
      <c r="AD14" s="43"/>
      <c r="AE14" s="43"/>
      <c r="AF14" s="43"/>
      <c r="AG14" s="43"/>
      <c r="AH14" s="43"/>
      <c r="AI14" s="43"/>
      <c r="AJ14" s="43"/>
      <c r="AK14" s="43"/>
      <c r="AL14" s="43"/>
      <c r="AM14" s="43"/>
      <c r="AN14" s="43"/>
      <c r="AO14" s="43"/>
    </row>
    <row r="15" spans="1:41" ht="15.75" customHeight="1" x14ac:dyDescent="0.3">
      <c r="A15" s="129"/>
      <c r="B15" s="77"/>
      <c r="C15" s="77"/>
      <c r="D15" s="77"/>
      <c r="E15" s="77"/>
      <c r="F15" s="77"/>
      <c r="G15" s="77"/>
      <c r="H15" s="77"/>
      <c r="I15" s="77"/>
      <c r="J15" s="77"/>
      <c r="K15" s="77"/>
      <c r="L15" s="77"/>
      <c r="M15" s="77"/>
      <c r="N15" s="77"/>
      <c r="O15" s="77"/>
      <c r="P15" s="77"/>
      <c r="Q15" s="77"/>
      <c r="R15" s="77"/>
      <c r="S15" s="77"/>
      <c r="T15" s="77"/>
      <c r="U15" s="78"/>
      <c r="V15" s="43"/>
      <c r="W15" s="43"/>
      <c r="X15" s="43"/>
      <c r="Y15" s="43"/>
      <c r="Z15" s="43"/>
      <c r="AA15" s="43"/>
      <c r="AB15" s="43"/>
      <c r="AC15" s="43"/>
      <c r="AD15" s="43"/>
      <c r="AE15" s="43"/>
      <c r="AF15" s="43"/>
      <c r="AG15" s="43"/>
      <c r="AH15" s="43"/>
      <c r="AI15" s="43"/>
      <c r="AJ15" s="43"/>
      <c r="AK15" s="43"/>
      <c r="AL15" s="43"/>
      <c r="AM15" s="43"/>
      <c r="AN15" s="43"/>
      <c r="AO15" s="43"/>
    </row>
    <row r="16" spans="1:41" ht="15.75" customHeight="1" x14ac:dyDescent="0.3">
      <c r="A16" s="79" t="s">
        <v>124</v>
      </c>
      <c r="B16" s="80">
        <f t="shared" ref="B16:U16" ca="1" si="4">B11-B13-B14</f>
        <v>275443.20000000001</v>
      </c>
      <c r="C16" s="80">
        <f t="shared" ca="1" si="4"/>
        <v>281849.27999999997</v>
      </c>
      <c r="D16" s="80">
        <f t="shared" ca="1" si="4"/>
        <v>288394.51199999999</v>
      </c>
      <c r="E16" s="80">
        <f t="shared" ca="1" si="4"/>
        <v>295081.63979999995</v>
      </c>
      <c r="F16" s="80">
        <f t="shared" ca="1" si="4"/>
        <v>301913.4500699999</v>
      </c>
      <c r="G16" s="80">
        <f t="shared" ca="1" si="4"/>
        <v>308892.77252137492</v>
      </c>
      <c r="H16" s="80">
        <f t="shared" ca="1" si="4"/>
        <v>316022.48005102121</v>
      </c>
      <c r="I16" s="80">
        <f t="shared" ca="1" si="4"/>
        <v>323305.48885648994</v>
      </c>
      <c r="J16" s="80">
        <f t="shared" ca="1" si="4"/>
        <v>330744.75852024218</v>
      </c>
      <c r="K16" s="80">
        <f t="shared" ca="1" si="4"/>
        <v>338343.29206107015</v>
      </c>
      <c r="L16" s="80">
        <f t="shared" ca="1" si="4"/>
        <v>346104.13595064264</v>
      </c>
      <c r="M16" s="80">
        <f t="shared" ca="1" si="4"/>
        <v>354030.38009303599</v>
      </c>
      <c r="N16" s="80">
        <f t="shared" ca="1" si="4"/>
        <v>362125.15776501613</v>
      </c>
      <c r="O16" s="80">
        <f t="shared" ca="1" si="4"/>
        <v>370391.64551473374</v>
      </c>
      <c r="P16" s="80">
        <f t="shared" ca="1" si="4"/>
        <v>378833.06301638996</v>
      </c>
      <c r="Q16" s="80">
        <f t="shared" ca="1" si="4"/>
        <v>387452.6728783201</v>
      </c>
      <c r="R16" s="80">
        <f t="shared" ca="1" si="4"/>
        <v>396253.78040182684</v>
      </c>
      <c r="S16" s="80">
        <f t="shared" ca="1" si="4"/>
        <v>405239.73328797548</v>
      </c>
      <c r="T16" s="80">
        <f t="shared" ca="1" si="4"/>
        <v>414413.92128944118</v>
      </c>
      <c r="U16" s="81">
        <f t="shared" ca="1" si="4"/>
        <v>423779.77580436808</v>
      </c>
      <c r="V16" s="43"/>
      <c r="W16" s="43"/>
      <c r="X16" s="43"/>
      <c r="Y16" s="43"/>
      <c r="Z16" s="43"/>
      <c r="AA16" s="43"/>
      <c r="AB16" s="43"/>
      <c r="AC16" s="43"/>
      <c r="AD16" s="43"/>
      <c r="AE16" s="43"/>
      <c r="AF16" s="43"/>
      <c r="AG16" s="43"/>
      <c r="AH16" s="43"/>
      <c r="AI16" s="43"/>
      <c r="AJ16" s="43"/>
      <c r="AK16" s="43"/>
      <c r="AL16" s="43"/>
      <c r="AM16" s="43"/>
      <c r="AN16" s="43"/>
      <c r="AO16" s="43"/>
    </row>
    <row r="17" spans="1:41" ht="15.75" customHeight="1" x14ac:dyDescent="0.3">
      <c r="A17" s="34" t="s">
        <v>116</v>
      </c>
      <c r="B17" s="73">
        <f ca="1">B16/'3.Intake Form'!G16</f>
        <v>239515.82608695654</v>
      </c>
      <c r="C17" s="51"/>
      <c r="D17" s="51"/>
      <c r="E17" s="51"/>
      <c r="F17" s="51"/>
      <c r="G17" s="51"/>
      <c r="H17" s="51"/>
      <c r="I17" s="51"/>
      <c r="J17" s="51"/>
      <c r="K17" s="51"/>
      <c r="L17" s="51"/>
      <c r="M17" s="51"/>
      <c r="N17" s="51"/>
      <c r="O17" s="51"/>
      <c r="P17" s="51"/>
      <c r="Q17" s="51"/>
      <c r="R17" s="51"/>
      <c r="S17" s="51"/>
      <c r="T17" s="51"/>
      <c r="U17" s="51"/>
      <c r="V17" s="43"/>
      <c r="W17" s="43"/>
      <c r="X17" s="43"/>
      <c r="Y17" s="43"/>
      <c r="Z17" s="43"/>
      <c r="AA17" s="43"/>
      <c r="AB17" s="43"/>
      <c r="AC17" s="43"/>
      <c r="AD17" s="43"/>
      <c r="AE17" s="43"/>
      <c r="AF17" s="43"/>
      <c r="AG17" s="43"/>
      <c r="AH17" s="43"/>
      <c r="AI17" s="43"/>
      <c r="AJ17" s="43"/>
      <c r="AK17" s="43"/>
      <c r="AL17" s="43"/>
      <c r="AM17" s="43"/>
      <c r="AN17" s="43"/>
      <c r="AO17" s="43"/>
    </row>
    <row r="18" spans="1:41" ht="15.75" customHeight="1" x14ac:dyDescent="0.3">
      <c r="A18" s="82" t="s">
        <v>23</v>
      </c>
      <c r="B18" s="83">
        <f t="shared" ref="B18:H18" ca="1" si="5">B16/$B$17</f>
        <v>1.1499999999999999</v>
      </c>
      <c r="C18" s="83">
        <f t="shared" ca="1" si="5"/>
        <v>1.1767459570612016</v>
      </c>
      <c r="D18" s="83">
        <f t="shared" ca="1" si="5"/>
        <v>1.2040728861703609</v>
      </c>
      <c r="E18" s="83">
        <f t="shared" ca="1" si="5"/>
        <v>1.2319922429379266</v>
      </c>
      <c r="F18" s="83">
        <f t="shared" ca="1" si="5"/>
        <v>1.2605156619604327</v>
      </c>
      <c r="G18" s="83">
        <f t="shared" ca="1" si="5"/>
        <v>1.2896549575360043</v>
      </c>
      <c r="H18" s="84">
        <f t="shared" ca="1" si="5"/>
        <v>1.3194221242661803</v>
      </c>
      <c r="I18" s="51"/>
      <c r="J18" s="51"/>
      <c r="K18" s="51"/>
      <c r="L18" s="51"/>
      <c r="M18" s="51"/>
      <c r="N18" s="51"/>
      <c r="O18" s="51"/>
      <c r="P18" s="51"/>
      <c r="Q18" s="51"/>
      <c r="R18" s="51"/>
      <c r="S18" s="51"/>
      <c r="T18" s="51"/>
      <c r="U18" s="51"/>
      <c r="V18" s="43"/>
      <c r="W18" s="43"/>
      <c r="X18" s="43"/>
      <c r="Y18" s="43"/>
      <c r="Z18" s="43"/>
      <c r="AA18" s="43"/>
      <c r="AB18" s="43"/>
      <c r="AC18" s="43"/>
      <c r="AD18" s="43"/>
      <c r="AE18" s="43"/>
      <c r="AF18" s="43"/>
      <c r="AG18" s="43"/>
      <c r="AH18" s="43"/>
      <c r="AI18" s="43"/>
      <c r="AJ18" s="43"/>
      <c r="AK18" s="43"/>
      <c r="AL18" s="43"/>
      <c r="AM18" s="43"/>
      <c r="AN18" s="43"/>
      <c r="AO18" s="43"/>
    </row>
    <row r="19" spans="1:41" ht="13.5" customHeight="1" x14ac:dyDescent="0.25"/>
    <row r="20" spans="1:41" ht="13.5" customHeight="1" x14ac:dyDescent="0.3">
      <c r="B20" s="2"/>
      <c r="E20" s="10" t="s">
        <v>118</v>
      </c>
      <c r="F20" s="85">
        <v>2022</v>
      </c>
    </row>
    <row r="21" spans="1:41" ht="13.5" customHeight="1" x14ac:dyDescent="0.3">
      <c r="B21" s="433" t="s">
        <v>125</v>
      </c>
      <c r="C21" s="434"/>
      <c r="D21" s="434"/>
      <c r="E21" s="434"/>
      <c r="F21" s="435"/>
    </row>
    <row r="22" spans="1:41" ht="13.5" customHeight="1" x14ac:dyDescent="0.3">
      <c r="B22" s="16"/>
      <c r="C22" s="16" t="s">
        <v>192</v>
      </c>
      <c r="D22" s="86" t="s">
        <v>101</v>
      </c>
      <c r="E22" s="86" t="s">
        <v>102</v>
      </c>
      <c r="F22" s="86" t="s">
        <v>103</v>
      </c>
      <c r="G22" s="86" t="s">
        <v>104</v>
      </c>
    </row>
    <row r="23" spans="1:41" ht="13.5" customHeight="1" x14ac:dyDescent="0.3">
      <c r="B23" s="140">
        <v>0.2</v>
      </c>
      <c r="C23" s="328">
        <v>364</v>
      </c>
      <c r="D23" s="141">
        <v>485</v>
      </c>
      <c r="E23" s="141">
        <v>554</v>
      </c>
      <c r="F23" s="141">
        <v>624</v>
      </c>
      <c r="G23" s="141">
        <v>693</v>
      </c>
    </row>
    <row r="24" spans="1:41" ht="13.5" customHeight="1" x14ac:dyDescent="0.3">
      <c r="B24" s="140">
        <v>0.25</v>
      </c>
      <c r="C24" s="328">
        <v>455</v>
      </c>
      <c r="D24" s="141">
        <v>606</v>
      </c>
      <c r="E24" s="141">
        <v>693</v>
      </c>
      <c r="F24" s="141">
        <v>780</v>
      </c>
      <c r="G24" s="141">
        <v>866</v>
      </c>
    </row>
    <row r="25" spans="1:41" ht="13.5" customHeight="1" x14ac:dyDescent="0.3">
      <c r="B25" s="140">
        <v>0.3</v>
      </c>
      <c r="C25" s="328">
        <v>546</v>
      </c>
      <c r="D25" s="119">
        <v>728</v>
      </c>
      <c r="E25" s="119">
        <v>831</v>
      </c>
      <c r="F25" s="119">
        <v>935</v>
      </c>
      <c r="G25" s="119">
        <v>1039</v>
      </c>
    </row>
    <row r="26" spans="1:41" ht="13.5" customHeight="1" x14ac:dyDescent="0.3">
      <c r="B26" s="140">
        <v>0.35</v>
      </c>
      <c r="C26" s="328">
        <v>637</v>
      </c>
      <c r="D26" s="119">
        <v>849</v>
      </c>
      <c r="E26" s="119">
        <v>970</v>
      </c>
      <c r="F26" s="119">
        <v>1091</v>
      </c>
      <c r="G26" s="119">
        <v>1213</v>
      </c>
    </row>
    <row r="27" spans="1:41" ht="13.5" customHeight="1" x14ac:dyDescent="0.3">
      <c r="B27" s="140">
        <v>0.4</v>
      </c>
      <c r="C27" s="328">
        <v>728</v>
      </c>
      <c r="D27" s="119">
        <v>970</v>
      </c>
      <c r="E27" s="119">
        <v>1109</v>
      </c>
      <c r="F27" s="119">
        <v>1248</v>
      </c>
      <c r="G27" s="119">
        <v>1385</v>
      </c>
    </row>
    <row r="28" spans="1:41" ht="13.5" customHeight="1" x14ac:dyDescent="0.3">
      <c r="B28" s="140">
        <v>0.45</v>
      </c>
      <c r="C28" s="328">
        <v>818</v>
      </c>
      <c r="D28" s="119">
        <v>1091</v>
      </c>
      <c r="E28" s="119">
        <v>1248</v>
      </c>
      <c r="F28" s="119">
        <v>1403</v>
      </c>
      <c r="G28" s="119">
        <v>1559</v>
      </c>
    </row>
    <row r="29" spans="1:41" ht="13.5" customHeight="1" x14ac:dyDescent="0.3">
      <c r="B29" s="140">
        <v>0.5</v>
      </c>
      <c r="C29" s="328">
        <v>909</v>
      </c>
      <c r="D29" s="119">
        <v>1213</v>
      </c>
      <c r="E29" s="119">
        <v>1386</v>
      </c>
      <c r="F29" s="119">
        <v>1559</v>
      </c>
      <c r="G29" s="119">
        <v>1733</v>
      </c>
    </row>
    <row r="30" spans="1:41" ht="13.5" customHeight="1" x14ac:dyDescent="0.3">
      <c r="B30" s="140">
        <v>0.55000000000000004</v>
      </c>
      <c r="C30" s="328">
        <v>1000</v>
      </c>
      <c r="D30" s="119">
        <v>1334</v>
      </c>
      <c r="E30" s="119">
        <v>1524</v>
      </c>
      <c r="F30" s="119">
        <v>1715</v>
      </c>
      <c r="G30" s="119">
        <v>1905</v>
      </c>
    </row>
    <row r="31" spans="1:41" ht="13.5" customHeight="1" x14ac:dyDescent="0.3">
      <c r="B31" s="140">
        <v>0.6</v>
      </c>
      <c r="C31" s="328">
        <v>1091</v>
      </c>
      <c r="D31" s="119">
        <v>1455</v>
      </c>
      <c r="E31" s="119">
        <v>1663</v>
      </c>
      <c r="F31" s="119">
        <v>1870</v>
      </c>
      <c r="G31" s="119">
        <v>2079</v>
      </c>
    </row>
    <row r="32" spans="1:41" ht="13.5" customHeight="1" x14ac:dyDescent="0.3">
      <c r="B32" s="140">
        <v>0.65</v>
      </c>
      <c r="C32" s="328">
        <v>1182</v>
      </c>
      <c r="D32" s="119">
        <v>1576</v>
      </c>
      <c r="E32" s="119">
        <v>1801</v>
      </c>
      <c r="F32" s="119">
        <v>2026</v>
      </c>
      <c r="G32" s="119">
        <v>2251</v>
      </c>
    </row>
    <row r="33" spans="2:7" ht="13.5" customHeight="1" x14ac:dyDescent="0.3">
      <c r="B33" s="140">
        <v>0.7</v>
      </c>
      <c r="C33" s="328">
        <v>1273</v>
      </c>
      <c r="D33" s="119">
        <v>1698</v>
      </c>
      <c r="E33" s="119">
        <v>1940</v>
      </c>
      <c r="F33" s="119">
        <v>2183</v>
      </c>
      <c r="G33" s="119">
        <v>2425</v>
      </c>
    </row>
    <row r="34" spans="2:7" ht="13.5" customHeight="1" x14ac:dyDescent="0.3">
      <c r="B34" s="140">
        <v>0.72</v>
      </c>
      <c r="C34" s="328">
        <v>1310</v>
      </c>
      <c r="D34" s="119">
        <v>1746</v>
      </c>
      <c r="E34" s="119">
        <v>1995</v>
      </c>
      <c r="F34" s="119">
        <v>2245</v>
      </c>
      <c r="G34" s="119">
        <v>2494</v>
      </c>
    </row>
    <row r="35" spans="2:7" ht="13.5" customHeight="1" x14ac:dyDescent="0.3">
      <c r="B35" s="140">
        <v>0.74</v>
      </c>
      <c r="C35" s="328">
        <v>1346</v>
      </c>
      <c r="D35" s="119">
        <v>1795</v>
      </c>
      <c r="E35" s="119">
        <v>2051</v>
      </c>
      <c r="F35" s="119">
        <v>2308</v>
      </c>
      <c r="G35" s="119">
        <v>2564</v>
      </c>
    </row>
    <row r="36" spans="2:7" ht="13.5" customHeight="1" x14ac:dyDescent="0.3">
      <c r="B36" s="140">
        <v>0.75</v>
      </c>
      <c r="C36" s="328">
        <v>1364</v>
      </c>
      <c r="D36" s="119">
        <v>1819</v>
      </c>
      <c r="E36" s="119">
        <v>2079</v>
      </c>
      <c r="F36" s="119">
        <v>2339</v>
      </c>
      <c r="G36" s="119">
        <v>2598</v>
      </c>
    </row>
    <row r="37" spans="2:7" ht="13.5" customHeight="1" x14ac:dyDescent="0.3">
      <c r="B37" s="140">
        <v>0.8</v>
      </c>
      <c r="C37" s="328">
        <v>1455</v>
      </c>
      <c r="D37" s="119">
        <v>1940</v>
      </c>
      <c r="E37" s="119">
        <v>2218</v>
      </c>
      <c r="F37" s="119">
        <v>2494</v>
      </c>
      <c r="G37" s="119">
        <v>2771</v>
      </c>
    </row>
    <row r="38" spans="2:7" ht="13.5" customHeight="1" x14ac:dyDescent="0.3">
      <c r="B38" s="140">
        <v>0.9</v>
      </c>
      <c r="C38" s="328">
        <v>1637</v>
      </c>
      <c r="D38" s="119">
        <v>2183</v>
      </c>
      <c r="E38" s="119">
        <v>2494</v>
      </c>
      <c r="F38" s="119">
        <v>2806</v>
      </c>
      <c r="G38" s="119">
        <v>3118</v>
      </c>
    </row>
    <row r="39" spans="2:7" ht="13.5" customHeight="1" x14ac:dyDescent="0.3">
      <c r="B39" s="140">
        <v>1</v>
      </c>
      <c r="C39" s="328">
        <v>1819</v>
      </c>
      <c r="D39" s="119">
        <v>2425</v>
      </c>
      <c r="E39" s="119">
        <v>2771</v>
      </c>
      <c r="F39" s="119">
        <v>3118</v>
      </c>
      <c r="G39" s="119">
        <v>3464</v>
      </c>
    </row>
    <row r="40" spans="2:7" ht="13.5" customHeight="1" x14ac:dyDescent="0.3">
      <c r="B40" s="140">
        <v>1.05</v>
      </c>
      <c r="C40" s="328">
        <v>1910</v>
      </c>
      <c r="D40" s="119">
        <v>2546</v>
      </c>
      <c r="E40" s="119">
        <v>2910</v>
      </c>
      <c r="F40" s="119">
        <v>3274</v>
      </c>
      <c r="G40" s="119">
        <v>3638</v>
      </c>
    </row>
    <row r="41" spans="2:7" ht="13.5" customHeight="1" x14ac:dyDescent="0.3">
      <c r="B41" s="140">
        <v>1.1000000000000001</v>
      </c>
      <c r="C41" s="328">
        <v>2001</v>
      </c>
      <c r="D41" s="119">
        <v>2668</v>
      </c>
      <c r="E41" s="119">
        <v>3049</v>
      </c>
      <c r="F41" s="119">
        <v>3429</v>
      </c>
      <c r="G41" s="119">
        <v>3810</v>
      </c>
    </row>
    <row r="42" spans="2:7" ht="13.5" customHeight="1" x14ac:dyDescent="0.3">
      <c r="B42" s="142">
        <v>1.2</v>
      </c>
      <c r="C42" s="329">
        <v>2183</v>
      </c>
      <c r="D42" s="143">
        <v>2910</v>
      </c>
      <c r="E42" s="143">
        <v>3325</v>
      </c>
      <c r="F42" s="143">
        <v>3741</v>
      </c>
      <c r="G42" s="143">
        <v>4156</v>
      </c>
    </row>
    <row r="43" spans="2:7" ht="13.5" customHeight="1" x14ac:dyDescent="0.25"/>
    <row r="44" spans="2:7" ht="13.5" customHeight="1" x14ac:dyDescent="0.25"/>
    <row r="45" spans="2:7" ht="13.5" customHeight="1" x14ac:dyDescent="0.25"/>
    <row r="46" spans="2:7" ht="13.5" customHeight="1" x14ac:dyDescent="0.25"/>
    <row r="47" spans="2:7" ht="13.5" customHeight="1" x14ac:dyDescent="0.25"/>
    <row r="48" spans="2:7"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sheetData>
  <mergeCells count="1">
    <mergeCell ref="B21:F21"/>
  </mergeCells>
  <pageMargins left="0.7" right="0.7" top="0.75" bottom="0.75" header="0" footer="0"/>
  <pageSetup scale="4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1"/>
  <sheetViews>
    <sheetView showGridLines="0" topLeftCell="A52" workbookViewId="0">
      <selection activeCell="B58" sqref="B58"/>
    </sheetView>
  </sheetViews>
  <sheetFormatPr defaultColWidth="12.59765625" defaultRowHeight="15" customHeight="1" x14ac:dyDescent="0.25"/>
  <cols>
    <col min="1" max="1" width="28.3984375" customWidth="1"/>
    <col min="2" max="2" width="18.69921875" customWidth="1"/>
    <col min="3" max="3" width="10.19921875" customWidth="1"/>
    <col min="4" max="4" width="16.19921875" customWidth="1"/>
    <col min="5" max="5" width="16" customWidth="1"/>
    <col min="9" max="9" width="18" customWidth="1"/>
  </cols>
  <sheetData>
    <row r="1" spans="1:26" ht="18" x14ac:dyDescent="0.35">
      <c r="A1" s="1" t="s">
        <v>126</v>
      </c>
      <c r="B1" s="2"/>
      <c r="C1" s="2"/>
      <c r="D1" s="2"/>
      <c r="E1" s="2"/>
      <c r="F1" s="3" t="s">
        <v>0</v>
      </c>
      <c r="G1" s="3"/>
      <c r="H1" s="3"/>
      <c r="I1" s="2"/>
      <c r="J1" s="2"/>
      <c r="K1" s="2"/>
      <c r="L1" s="2"/>
      <c r="M1" s="2"/>
      <c r="N1" s="2"/>
      <c r="O1" s="2"/>
      <c r="P1" s="2"/>
      <c r="Q1" s="2"/>
      <c r="R1" s="2"/>
      <c r="S1" s="2"/>
      <c r="T1" s="2"/>
      <c r="U1" s="2"/>
      <c r="V1" s="2"/>
      <c r="W1" s="2"/>
      <c r="X1" s="2"/>
      <c r="Y1" s="2"/>
      <c r="Z1" s="2"/>
    </row>
    <row r="2" spans="1:26" ht="15.6" x14ac:dyDescent="0.3">
      <c r="A2" s="4"/>
      <c r="B2" s="2"/>
      <c r="C2" s="2"/>
      <c r="D2" s="2"/>
      <c r="E2" s="2"/>
      <c r="F2" s="2"/>
      <c r="G2" s="2"/>
      <c r="H2" s="2"/>
      <c r="I2" s="2"/>
      <c r="J2" s="2"/>
      <c r="K2" s="2"/>
      <c r="L2" s="2"/>
      <c r="M2" s="2"/>
      <c r="N2" s="2"/>
      <c r="O2" s="2"/>
      <c r="P2" s="2"/>
      <c r="Q2" s="2"/>
      <c r="R2" s="2"/>
      <c r="S2" s="2"/>
      <c r="T2" s="2"/>
      <c r="U2" s="2"/>
      <c r="V2" s="2"/>
      <c r="W2" s="2"/>
      <c r="X2" s="2"/>
      <c r="Y2" s="2"/>
      <c r="Z2" s="2"/>
    </row>
    <row r="3" spans="1:26" ht="18" x14ac:dyDescent="0.35">
      <c r="A3" s="5" t="s">
        <v>1</v>
      </c>
      <c r="B3" s="6"/>
      <c r="C3" s="2"/>
      <c r="D3" s="2"/>
      <c r="E3" s="7" t="s">
        <v>2</v>
      </c>
      <c r="F3" s="8" t="s">
        <v>3</v>
      </c>
      <c r="G3" s="8" t="s">
        <v>4</v>
      </c>
      <c r="H3" s="8" t="s">
        <v>127</v>
      </c>
      <c r="I3" s="2"/>
      <c r="J3" s="2"/>
      <c r="K3" s="2"/>
      <c r="L3" s="2"/>
      <c r="M3" s="2"/>
      <c r="N3" s="2"/>
      <c r="O3" s="2"/>
      <c r="P3" s="2"/>
      <c r="Q3" s="2"/>
      <c r="R3" s="2"/>
      <c r="S3" s="2"/>
      <c r="T3" s="2"/>
      <c r="U3" s="2"/>
      <c r="V3" s="2"/>
      <c r="W3" s="2"/>
      <c r="X3" s="2"/>
      <c r="Y3" s="2"/>
      <c r="Z3" s="2"/>
    </row>
    <row r="4" spans="1:26" ht="15.6" x14ac:dyDescent="0.3">
      <c r="A4" s="101" t="s">
        <v>5</v>
      </c>
      <c r="B4" s="102" t="s">
        <v>6</v>
      </c>
      <c r="C4" s="2"/>
      <c r="D4" s="2"/>
      <c r="E4" s="7" t="s">
        <v>7</v>
      </c>
      <c r="F4" s="9">
        <f ca="1">'3.Intake Form'!G9</f>
        <v>9183154.9736108612</v>
      </c>
      <c r="G4" s="9">
        <f ca="1">'3.Intake Form'!H9</f>
        <v>918315.49736108608</v>
      </c>
      <c r="H4" s="9">
        <f ca="1">IFERROR(F4/$B$8,"N/A")</f>
        <v>382631.45723378588</v>
      </c>
      <c r="I4" s="2"/>
      <c r="J4" s="2"/>
      <c r="K4" s="2"/>
      <c r="L4" s="2"/>
      <c r="M4" s="2"/>
      <c r="N4" s="2"/>
      <c r="O4" s="2"/>
      <c r="P4" s="2"/>
      <c r="Q4" s="2"/>
      <c r="R4" s="2"/>
      <c r="S4" s="2"/>
      <c r="T4" s="2"/>
      <c r="U4" s="2"/>
      <c r="V4" s="2"/>
      <c r="W4" s="2"/>
      <c r="X4" s="2"/>
      <c r="Y4" s="2"/>
      <c r="Z4" s="2"/>
    </row>
    <row r="5" spans="1:26" ht="15.6" x14ac:dyDescent="0.3">
      <c r="A5" s="101" t="s">
        <v>8</v>
      </c>
      <c r="B5" s="102" t="s">
        <v>9</v>
      </c>
      <c r="C5" s="2"/>
      <c r="D5" s="2"/>
      <c r="E5" s="87"/>
      <c r="F5" s="88"/>
      <c r="G5" s="89"/>
      <c r="H5" s="2"/>
      <c r="I5" s="2"/>
      <c r="J5" s="2"/>
      <c r="K5" s="2"/>
      <c r="L5" s="2"/>
      <c r="M5" s="2"/>
      <c r="N5" s="2"/>
      <c r="O5" s="2"/>
      <c r="P5" s="2"/>
      <c r="Q5" s="2"/>
      <c r="R5" s="2"/>
      <c r="S5" s="2"/>
      <c r="T5" s="2"/>
      <c r="U5" s="2"/>
      <c r="V5" s="2"/>
      <c r="W5" s="2"/>
      <c r="X5" s="2"/>
      <c r="Y5" s="2"/>
      <c r="Z5" s="2"/>
    </row>
    <row r="6" spans="1:26" ht="15.6" x14ac:dyDescent="0.3">
      <c r="A6" s="101" t="s">
        <v>11</v>
      </c>
      <c r="B6" s="103" t="s">
        <v>12</v>
      </c>
      <c r="C6" s="2"/>
      <c r="D6" s="2"/>
      <c r="E6" s="12" t="s">
        <v>26</v>
      </c>
      <c r="F6" s="13">
        <v>18</v>
      </c>
      <c r="G6" s="14" t="s">
        <v>27</v>
      </c>
      <c r="H6" s="2"/>
      <c r="I6" s="2"/>
      <c r="J6" s="2"/>
      <c r="K6" s="2"/>
      <c r="L6" s="2"/>
      <c r="M6" s="2"/>
      <c r="N6" s="2"/>
      <c r="O6" s="2"/>
      <c r="P6" s="2"/>
      <c r="Q6" s="2"/>
      <c r="R6" s="2"/>
      <c r="S6" s="2"/>
      <c r="T6" s="2"/>
      <c r="U6" s="2"/>
      <c r="V6" s="2"/>
      <c r="W6" s="2"/>
      <c r="X6" s="2"/>
      <c r="Y6" s="2"/>
      <c r="Z6" s="2"/>
    </row>
    <row r="7" spans="1:26" ht="15.6" x14ac:dyDescent="0.3">
      <c r="A7" s="101" t="s">
        <v>14</v>
      </c>
      <c r="B7" s="102">
        <v>12</v>
      </c>
      <c r="C7" s="2"/>
      <c r="D7" s="2"/>
      <c r="E7" s="15" t="s">
        <v>29</v>
      </c>
      <c r="F7" s="16">
        <f ca="1">'3.Intake Form'!G5</f>
        <v>8749710.496747341</v>
      </c>
      <c r="G7" s="17">
        <v>4.4999999999999998E-2</v>
      </c>
      <c r="H7" s="2"/>
      <c r="I7" s="2"/>
      <c r="J7" s="2"/>
      <c r="K7" s="2"/>
      <c r="L7" s="2"/>
      <c r="M7" s="2"/>
      <c r="N7" s="2"/>
      <c r="O7" s="2"/>
      <c r="P7" s="2"/>
      <c r="Q7" s="2"/>
      <c r="R7" s="2"/>
      <c r="S7" s="2"/>
      <c r="T7" s="2"/>
      <c r="U7" s="2"/>
      <c r="V7" s="2"/>
      <c r="W7" s="2"/>
      <c r="X7" s="2"/>
      <c r="Y7" s="2"/>
      <c r="Z7" s="2"/>
    </row>
    <row r="8" spans="1:26" ht="15.6" x14ac:dyDescent="0.3">
      <c r="A8" s="101" t="s">
        <v>128</v>
      </c>
      <c r="B8" s="102">
        <f>B7*2</f>
        <v>24</v>
      </c>
      <c r="C8" s="2"/>
      <c r="D8" s="2"/>
      <c r="E8" s="15" t="s">
        <v>31</v>
      </c>
      <c r="F8" s="16">
        <f ca="1">'3.Intake Form'!G6</f>
        <v>178565.52034178245</v>
      </c>
      <c r="G8" s="11">
        <v>0.02</v>
      </c>
      <c r="H8" s="2"/>
      <c r="I8" s="2"/>
      <c r="J8" s="2"/>
      <c r="K8" s="2"/>
      <c r="L8" s="2"/>
      <c r="M8" s="2"/>
      <c r="N8" s="2"/>
      <c r="O8" s="2"/>
      <c r="P8" s="2"/>
      <c r="Q8" s="2"/>
      <c r="R8" s="2"/>
      <c r="S8" s="2"/>
      <c r="T8" s="2"/>
      <c r="U8" s="2"/>
      <c r="V8" s="2"/>
      <c r="W8" s="2"/>
      <c r="X8" s="2"/>
      <c r="Y8" s="2"/>
      <c r="Z8" s="2"/>
    </row>
    <row r="9" spans="1:26" ht="15.6" x14ac:dyDescent="0.3">
      <c r="A9" s="101" t="s">
        <v>15</v>
      </c>
      <c r="B9" s="102">
        <v>0</v>
      </c>
      <c r="C9" s="2"/>
      <c r="D9" s="2"/>
      <c r="E9" s="2"/>
      <c r="F9" s="2"/>
      <c r="G9" s="2"/>
      <c r="H9" s="2"/>
      <c r="I9" s="2"/>
      <c r="J9" s="2"/>
      <c r="K9" s="2"/>
      <c r="L9" s="2"/>
      <c r="M9" s="2"/>
      <c r="N9" s="2"/>
      <c r="O9" s="2"/>
      <c r="P9" s="2"/>
      <c r="Q9" s="2"/>
      <c r="R9" s="2"/>
      <c r="S9" s="2"/>
      <c r="T9" s="2"/>
      <c r="U9" s="2"/>
      <c r="V9" s="2"/>
      <c r="W9" s="2"/>
      <c r="X9" s="2"/>
      <c r="Y9" s="2"/>
      <c r="Z9" s="2"/>
    </row>
    <row r="10" spans="1:26" ht="15.6" x14ac:dyDescent="0.3">
      <c r="A10" s="101" t="s">
        <v>16</v>
      </c>
      <c r="B10" s="102">
        <v>12</v>
      </c>
      <c r="C10" s="2"/>
      <c r="D10" s="2"/>
      <c r="E10" s="90"/>
      <c r="F10" s="2"/>
      <c r="G10" s="2"/>
      <c r="H10" s="2"/>
      <c r="I10" s="2"/>
      <c r="J10" s="2"/>
      <c r="K10" s="2"/>
      <c r="L10" s="2"/>
      <c r="M10" s="2"/>
      <c r="N10" s="2"/>
      <c r="O10" s="2"/>
      <c r="P10" s="2"/>
      <c r="Q10" s="2"/>
      <c r="R10" s="2"/>
      <c r="S10" s="2"/>
      <c r="T10" s="2"/>
      <c r="U10" s="2"/>
      <c r="V10" s="2"/>
      <c r="W10" s="2"/>
      <c r="X10" s="2"/>
      <c r="Y10" s="2"/>
      <c r="Z10" s="2"/>
    </row>
    <row r="11" spans="1:26" ht="15.6" x14ac:dyDescent="0.3">
      <c r="A11" s="101" t="s">
        <v>18</v>
      </c>
      <c r="B11" s="102">
        <v>0</v>
      </c>
      <c r="C11" s="2"/>
      <c r="D11" s="2"/>
      <c r="E11" s="2"/>
      <c r="F11" s="2"/>
      <c r="G11" s="2"/>
      <c r="H11" s="2"/>
      <c r="I11" s="2"/>
      <c r="J11" s="2"/>
      <c r="K11" s="2"/>
      <c r="L11" s="2"/>
      <c r="M11" s="2"/>
      <c r="N11" s="2"/>
      <c r="O11" s="2"/>
      <c r="P11" s="2"/>
      <c r="Q11" s="2"/>
      <c r="R11" s="2"/>
      <c r="S11" s="2"/>
      <c r="T11" s="2"/>
      <c r="U11" s="2"/>
      <c r="V11" s="2"/>
      <c r="W11" s="2"/>
      <c r="X11" s="2"/>
      <c r="Y11" s="2"/>
      <c r="Z11" s="2"/>
    </row>
    <row r="12" spans="1:26" ht="15.6" x14ac:dyDescent="0.3">
      <c r="A12" s="101" t="s">
        <v>21</v>
      </c>
      <c r="B12" s="104" t="s">
        <v>22</v>
      </c>
      <c r="C12" s="2"/>
      <c r="D12" s="2"/>
      <c r="E12" s="2"/>
      <c r="F12" s="2"/>
      <c r="G12" s="2"/>
      <c r="H12" s="2"/>
      <c r="I12" s="2"/>
      <c r="J12" s="2"/>
      <c r="K12" s="2"/>
      <c r="L12" s="2"/>
      <c r="M12" s="2"/>
      <c r="N12" s="2"/>
      <c r="O12" s="2"/>
      <c r="P12" s="2"/>
      <c r="Q12" s="2"/>
      <c r="R12" s="2"/>
      <c r="S12" s="2"/>
      <c r="T12" s="2"/>
      <c r="U12" s="2"/>
      <c r="V12" s="2"/>
      <c r="W12" s="2"/>
      <c r="X12" s="2"/>
      <c r="Y12" s="2"/>
      <c r="Z12" s="2"/>
    </row>
    <row r="13" spans="1:26" ht="15.6" x14ac:dyDescent="0.3">
      <c r="A13" s="101" t="s">
        <v>24</v>
      </c>
      <c r="B13" s="102"/>
      <c r="C13" s="2"/>
      <c r="D13" s="2"/>
      <c r="E13" s="2"/>
      <c r="F13" s="2"/>
      <c r="G13" s="2"/>
      <c r="H13" s="2"/>
      <c r="I13" s="2"/>
      <c r="J13" s="2"/>
      <c r="K13" s="2"/>
      <c r="L13" s="2"/>
      <c r="M13" s="2"/>
      <c r="N13" s="2"/>
      <c r="O13" s="2"/>
      <c r="P13" s="2"/>
      <c r="Q13" s="2"/>
      <c r="R13" s="2"/>
      <c r="S13" s="2"/>
      <c r="T13" s="2"/>
      <c r="U13" s="2"/>
      <c r="V13" s="2"/>
      <c r="W13" s="2"/>
      <c r="X13" s="2"/>
      <c r="Y13" s="2"/>
      <c r="Z13" s="2"/>
    </row>
    <row r="14" spans="1:26" ht="15.6" x14ac:dyDescent="0.3">
      <c r="A14" s="105" t="s">
        <v>25</v>
      </c>
      <c r="B14" s="102"/>
      <c r="C14" s="2"/>
      <c r="D14" s="2"/>
      <c r="E14" s="2"/>
      <c r="F14" s="2"/>
      <c r="G14" s="2"/>
      <c r="H14" s="2"/>
      <c r="I14" s="2"/>
      <c r="J14" s="2"/>
      <c r="K14" s="2"/>
      <c r="L14" s="2"/>
      <c r="M14" s="2"/>
      <c r="N14" s="2"/>
      <c r="O14" s="2"/>
      <c r="P14" s="2"/>
      <c r="Q14" s="2"/>
      <c r="R14" s="2"/>
      <c r="S14" s="2"/>
      <c r="T14" s="2"/>
      <c r="U14" s="2"/>
      <c r="V14" s="2"/>
      <c r="W14" s="2"/>
      <c r="X14" s="2"/>
      <c r="Y14" s="2"/>
      <c r="Z14" s="2"/>
    </row>
    <row r="15" spans="1:26" ht="15.6" x14ac:dyDescent="0.3">
      <c r="A15" s="105" t="s">
        <v>28</v>
      </c>
      <c r="B15" s="102"/>
      <c r="C15" s="2"/>
      <c r="D15" s="2"/>
      <c r="E15" s="2"/>
      <c r="F15" s="2"/>
      <c r="G15" s="2"/>
      <c r="H15" s="2"/>
      <c r="I15" s="2"/>
      <c r="J15" s="2"/>
      <c r="K15" s="2"/>
      <c r="L15" s="2"/>
      <c r="M15" s="2"/>
      <c r="N15" s="2"/>
      <c r="O15" s="2"/>
      <c r="P15" s="2"/>
      <c r="Q15" s="2"/>
      <c r="R15" s="2"/>
      <c r="S15" s="2"/>
      <c r="T15" s="2"/>
      <c r="U15" s="2"/>
      <c r="V15" s="2"/>
      <c r="W15" s="2"/>
      <c r="X15" s="2"/>
      <c r="Y15" s="2"/>
      <c r="Z15" s="2"/>
    </row>
    <row r="16" spans="1:26" ht="15.6" x14ac:dyDescent="0.3">
      <c r="A16" s="105" t="s">
        <v>30</v>
      </c>
      <c r="B16" s="102"/>
      <c r="C16" s="2"/>
      <c r="D16" s="2"/>
      <c r="E16" s="2"/>
      <c r="F16" s="2"/>
      <c r="G16" s="2"/>
      <c r="H16" s="2"/>
      <c r="I16" s="2"/>
      <c r="J16" s="2"/>
      <c r="K16" s="2"/>
      <c r="L16" s="2"/>
      <c r="M16" s="2"/>
      <c r="N16" s="2"/>
      <c r="O16" s="2"/>
      <c r="P16" s="2"/>
      <c r="Q16" s="2"/>
      <c r="R16" s="2"/>
      <c r="S16" s="2"/>
      <c r="T16" s="2"/>
      <c r="U16" s="2"/>
      <c r="V16" s="2"/>
      <c r="W16" s="2"/>
      <c r="X16" s="2"/>
      <c r="Y16" s="2"/>
      <c r="Z16" s="2"/>
    </row>
    <row r="17" spans="1:26" ht="15.6" x14ac:dyDescent="0.3">
      <c r="A17" s="106" t="s">
        <v>32</v>
      </c>
      <c r="B17" s="107"/>
      <c r="C17" s="2"/>
      <c r="D17" s="2"/>
      <c r="E17" s="2"/>
      <c r="F17" s="2"/>
      <c r="G17" s="2"/>
      <c r="H17" s="2"/>
      <c r="I17" s="2"/>
      <c r="J17" s="2"/>
      <c r="K17" s="2"/>
      <c r="L17" s="2"/>
      <c r="M17" s="2"/>
      <c r="N17" s="2"/>
      <c r="O17" s="2"/>
      <c r="P17" s="2"/>
      <c r="Q17" s="2"/>
      <c r="R17" s="2"/>
      <c r="S17" s="2"/>
      <c r="T17" s="2"/>
      <c r="U17" s="2"/>
      <c r="V17" s="2"/>
      <c r="W17" s="2"/>
      <c r="X17" s="2"/>
      <c r="Y17" s="2"/>
      <c r="Z17" s="2"/>
    </row>
    <row r="18" spans="1:26" ht="15.6" x14ac:dyDescent="0.3">
      <c r="A18" s="2"/>
      <c r="B18" s="2"/>
      <c r="C18" s="18"/>
      <c r="D18" s="2"/>
      <c r="E18" s="2"/>
      <c r="F18" s="2"/>
      <c r="G18" s="2"/>
      <c r="H18" s="2"/>
      <c r="I18" s="2"/>
      <c r="J18" s="2"/>
      <c r="K18" s="2"/>
      <c r="L18" s="2"/>
      <c r="M18" s="2"/>
      <c r="N18" s="2"/>
      <c r="O18" s="2"/>
      <c r="P18" s="2"/>
      <c r="Q18" s="2"/>
      <c r="R18" s="2"/>
      <c r="S18" s="2"/>
      <c r="T18" s="2"/>
      <c r="U18" s="2"/>
      <c r="V18" s="2"/>
      <c r="W18" s="2"/>
      <c r="X18" s="2"/>
      <c r="Y18" s="2"/>
      <c r="Z18" s="2"/>
    </row>
    <row r="19" spans="1:26" ht="31.2" x14ac:dyDescent="0.3">
      <c r="A19" s="436" t="s">
        <v>33</v>
      </c>
      <c r="B19" s="435"/>
      <c r="C19" s="19" t="s">
        <v>34</v>
      </c>
      <c r="D19" s="2"/>
      <c r="E19" s="436" t="s">
        <v>35</v>
      </c>
      <c r="F19" s="434"/>
      <c r="G19" s="435"/>
      <c r="H19" s="2"/>
      <c r="I19" s="2"/>
      <c r="J19" s="2"/>
      <c r="K19" s="2"/>
      <c r="L19" s="2"/>
      <c r="M19" s="2"/>
      <c r="N19" s="2"/>
      <c r="O19" s="2"/>
      <c r="P19" s="2"/>
      <c r="Q19" s="2"/>
      <c r="R19" s="2"/>
      <c r="S19" s="2"/>
      <c r="T19" s="2"/>
      <c r="U19" s="2"/>
      <c r="V19" s="2"/>
      <c r="W19" s="2"/>
      <c r="X19" s="2"/>
      <c r="Y19" s="2"/>
      <c r="Z19" s="2"/>
    </row>
    <row r="20" spans="1:26" ht="15.6" x14ac:dyDescent="0.3">
      <c r="A20" s="20" t="s">
        <v>36</v>
      </c>
      <c r="B20" s="21"/>
      <c r="C20" s="108"/>
      <c r="D20" s="2"/>
      <c r="E20" s="109" t="s">
        <v>37</v>
      </c>
      <c r="F20" s="110">
        <v>0.1</v>
      </c>
      <c r="G20" s="22"/>
      <c r="H20" s="2"/>
      <c r="I20" s="2"/>
      <c r="J20" s="2"/>
      <c r="K20" s="2"/>
      <c r="L20" s="2"/>
      <c r="M20" s="2"/>
      <c r="N20" s="2"/>
      <c r="O20" s="2"/>
      <c r="P20" s="2"/>
      <c r="Q20" s="2"/>
      <c r="R20" s="2"/>
      <c r="S20" s="2"/>
      <c r="T20" s="2"/>
      <c r="U20" s="2"/>
      <c r="V20" s="2"/>
      <c r="W20" s="2"/>
      <c r="X20" s="2"/>
      <c r="Y20" s="2"/>
      <c r="Z20" s="2"/>
    </row>
    <row r="21" spans="1:26" ht="15.6" x14ac:dyDescent="0.3">
      <c r="A21" s="111" t="s">
        <v>38</v>
      </c>
      <c r="B21" s="112">
        <v>3850000</v>
      </c>
      <c r="C21" s="113">
        <f>B21/F27</f>
        <v>320833.33333333331</v>
      </c>
      <c r="D21" s="2"/>
      <c r="E21" s="114" t="s">
        <v>39</v>
      </c>
      <c r="F21" s="115">
        <v>2.5000000000000001E-2</v>
      </c>
      <c r="G21" s="22"/>
      <c r="H21" s="2"/>
      <c r="I21" s="2"/>
      <c r="J21" s="2"/>
      <c r="K21" s="2"/>
      <c r="L21" s="2"/>
      <c r="M21" s="2"/>
      <c r="N21" s="2"/>
      <c r="O21" s="2"/>
      <c r="P21" s="2"/>
      <c r="Q21" s="2"/>
      <c r="R21" s="2"/>
      <c r="S21" s="2"/>
      <c r="T21" s="2"/>
      <c r="U21" s="2"/>
      <c r="V21" s="2"/>
      <c r="W21" s="2"/>
      <c r="X21" s="2"/>
      <c r="Y21" s="2"/>
      <c r="Z21" s="2"/>
    </row>
    <row r="22" spans="1:26" ht="15.6" x14ac:dyDescent="0.3">
      <c r="A22" s="116" t="s">
        <v>40</v>
      </c>
      <c r="B22" s="23">
        <f>B21*C22</f>
        <v>19250</v>
      </c>
      <c r="C22" s="117">
        <v>5.0000000000000001E-3</v>
      </c>
      <c r="D22" s="2"/>
      <c r="E22" s="114" t="s">
        <v>41</v>
      </c>
      <c r="F22" s="115">
        <v>3.5000000000000003E-2</v>
      </c>
      <c r="G22" s="22"/>
      <c r="H22" s="2"/>
      <c r="I22" s="2"/>
      <c r="J22" s="2"/>
      <c r="K22" s="2"/>
      <c r="L22" s="2"/>
      <c r="M22" s="2"/>
      <c r="N22" s="2"/>
      <c r="O22" s="2"/>
      <c r="P22" s="2"/>
      <c r="Q22" s="2"/>
      <c r="R22" s="2"/>
      <c r="S22" s="2"/>
      <c r="T22" s="2"/>
      <c r="U22" s="2"/>
      <c r="V22" s="2"/>
      <c r="W22" s="2"/>
      <c r="X22" s="2"/>
      <c r="Y22" s="2"/>
      <c r="Z22" s="2"/>
    </row>
    <row r="23" spans="1:26" ht="15.6" x14ac:dyDescent="0.3">
      <c r="A23" s="116" t="s">
        <v>42</v>
      </c>
      <c r="B23" s="23">
        <v>7000</v>
      </c>
      <c r="C23" s="116"/>
      <c r="D23" s="2"/>
      <c r="E23" s="114" t="s">
        <v>43</v>
      </c>
      <c r="F23" s="24">
        <v>6500</v>
      </c>
      <c r="G23" s="25" t="s">
        <v>44</v>
      </c>
      <c r="H23" s="2"/>
      <c r="I23" s="2"/>
      <c r="J23" s="2"/>
      <c r="K23" s="2"/>
      <c r="L23" s="2"/>
      <c r="M23" s="2"/>
      <c r="N23" s="2"/>
      <c r="O23" s="2"/>
      <c r="P23" s="2"/>
      <c r="Q23" s="2"/>
      <c r="R23" s="2"/>
      <c r="S23" s="2"/>
      <c r="T23" s="2"/>
      <c r="U23" s="2"/>
      <c r="V23" s="2"/>
      <c r="W23" s="2"/>
      <c r="X23" s="2"/>
      <c r="Y23" s="2"/>
      <c r="Z23" s="2"/>
    </row>
    <row r="24" spans="1:26" ht="15.6" x14ac:dyDescent="0.3">
      <c r="A24" s="116" t="s">
        <v>45</v>
      </c>
      <c r="B24" s="23">
        <v>40000</v>
      </c>
      <c r="C24" s="118" t="s">
        <v>46</v>
      </c>
      <c r="D24" s="2"/>
      <c r="E24" s="114" t="s">
        <v>47</v>
      </c>
      <c r="F24" s="24">
        <v>600</v>
      </c>
      <c r="G24" s="25"/>
      <c r="H24" s="2"/>
      <c r="I24" s="2"/>
      <c r="J24" s="2"/>
      <c r="K24" s="2"/>
      <c r="L24" s="2"/>
      <c r="M24" s="2"/>
      <c r="N24" s="2"/>
      <c r="O24" s="2"/>
      <c r="P24" s="2"/>
      <c r="Q24" s="2"/>
      <c r="R24" s="2"/>
      <c r="S24" s="2"/>
      <c r="T24" s="2"/>
      <c r="U24" s="2"/>
      <c r="V24" s="2"/>
      <c r="W24" s="2"/>
      <c r="X24" s="2"/>
      <c r="Y24" s="2"/>
      <c r="Z24" s="2"/>
    </row>
    <row r="25" spans="1:26" ht="15.6" x14ac:dyDescent="0.3">
      <c r="A25" s="116" t="s">
        <v>48</v>
      </c>
      <c r="B25" s="23">
        <v>25000</v>
      </c>
      <c r="C25" s="116"/>
      <c r="D25" s="2"/>
      <c r="E25" s="114" t="s">
        <v>14</v>
      </c>
      <c r="F25" s="119">
        <f>B7</f>
        <v>12</v>
      </c>
      <c r="G25" s="25"/>
      <c r="H25" s="2"/>
      <c r="I25" s="2"/>
      <c r="J25" s="2"/>
      <c r="K25" s="2"/>
      <c r="L25" s="2"/>
      <c r="M25" s="2"/>
      <c r="N25" s="2"/>
      <c r="O25" s="2"/>
      <c r="P25" s="2"/>
      <c r="Q25" s="2"/>
      <c r="R25" s="2"/>
      <c r="S25" s="2"/>
      <c r="T25" s="2"/>
      <c r="U25" s="2"/>
      <c r="V25" s="2"/>
      <c r="W25" s="2"/>
      <c r="X25" s="2"/>
      <c r="Y25" s="2"/>
      <c r="Z25" s="2"/>
    </row>
    <row r="26" spans="1:26" ht="15.6" x14ac:dyDescent="0.3">
      <c r="A26" s="12" t="s">
        <v>49</v>
      </c>
      <c r="B26" s="91">
        <f>SUM(B21:B25)</f>
        <v>3941250</v>
      </c>
      <c r="C26" s="120"/>
      <c r="D26" s="2"/>
      <c r="E26" s="114" t="s">
        <v>15</v>
      </c>
      <c r="F26" s="119">
        <f>B9</f>
        <v>0</v>
      </c>
      <c r="G26" s="25"/>
      <c r="H26" s="2"/>
      <c r="I26" s="2"/>
      <c r="J26" s="2"/>
      <c r="K26" s="2"/>
      <c r="L26" s="2"/>
      <c r="M26" s="2"/>
      <c r="N26" s="2"/>
      <c r="O26" s="2"/>
      <c r="P26" s="2"/>
      <c r="Q26" s="2"/>
      <c r="R26" s="2"/>
      <c r="S26" s="2"/>
      <c r="T26" s="2"/>
      <c r="U26" s="2"/>
      <c r="V26" s="2"/>
      <c r="W26" s="2"/>
      <c r="X26" s="2"/>
      <c r="Y26" s="2"/>
      <c r="Z26" s="2"/>
    </row>
    <row r="27" spans="1:26" ht="15.6" x14ac:dyDescent="0.3">
      <c r="A27" s="121"/>
      <c r="B27" s="92"/>
      <c r="C27" s="2"/>
      <c r="D27" s="2"/>
      <c r="E27" s="114" t="s">
        <v>50</v>
      </c>
      <c r="F27" s="119">
        <f>SUM(F25:F26)</f>
        <v>12</v>
      </c>
      <c r="G27" s="25"/>
      <c r="H27" s="2"/>
      <c r="I27" s="2"/>
      <c r="J27" s="2"/>
      <c r="K27" s="2"/>
      <c r="L27" s="2"/>
      <c r="M27" s="2"/>
      <c r="N27" s="2"/>
      <c r="O27" s="2"/>
      <c r="P27" s="2"/>
      <c r="Q27" s="2"/>
      <c r="R27" s="2"/>
      <c r="S27" s="2"/>
      <c r="T27" s="2"/>
      <c r="U27" s="2"/>
      <c r="V27" s="2"/>
      <c r="W27" s="2"/>
      <c r="X27" s="2"/>
      <c r="Y27" s="2"/>
      <c r="Z27" s="2"/>
    </row>
    <row r="28" spans="1:26" ht="15.6" x14ac:dyDescent="0.3">
      <c r="A28" s="27" t="s">
        <v>51</v>
      </c>
      <c r="B28" s="93"/>
      <c r="C28" s="109"/>
      <c r="D28" s="2"/>
      <c r="E28" s="120" t="s">
        <v>52</v>
      </c>
      <c r="F28" s="29">
        <v>0.2</v>
      </c>
      <c r="G28" s="30"/>
      <c r="H28" s="2"/>
      <c r="I28" s="2"/>
      <c r="J28" s="2"/>
      <c r="K28" s="2"/>
      <c r="L28" s="2"/>
      <c r="M28" s="2"/>
      <c r="N28" s="2"/>
      <c r="O28" s="2"/>
      <c r="P28" s="2"/>
      <c r="Q28" s="2"/>
      <c r="R28" s="2"/>
      <c r="S28" s="2"/>
      <c r="T28" s="2"/>
      <c r="U28" s="2"/>
      <c r="V28" s="2"/>
      <c r="W28" s="2"/>
      <c r="X28" s="2"/>
      <c r="Y28" s="2"/>
      <c r="Z28" s="2"/>
    </row>
    <row r="29" spans="1:26" ht="15.6" x14ac:dyDescent="0.3">
      <c r="A29" s="123" t="s">
        <v>53</v>
      </c>
      <c r="B29" s="23">
        <f>C29*B7</f>
        <v>850000</v>
      </c>
      <c r="C29" s="31">
        <f>850000/12</f>
        <v>70833.333333333328</v>
      </c>
      <c r="D29" s="2"/>
      <c r="G29" s="2"/>
      <c r="H29" s="2"/>
      <c r="I29" s="2"/>
      <c r="J29" s="2"/>
      <c r="K29" s="2"/>
      <c r="L29" s="2"/>
      <c r="M29" s="2"/>
      <c r="N29" s="2"/>
      <c r="O29" s="2"/>
      <c r="P29" s="2"/>
      <c r="Q29" s="2"/>
      <c r="R29" s="2"/>
      <c r="S29" s="2"/>
      <c r="T29" s="2"/>
      <c r="U29" s="2"/>
      <c r="V29" s="2"/>
      <c r="W29" s="2"/>
      <c r="X29" s="2"/>
      <c r="Y29" s="2"/>
      <c r="Z29" s="2"/>
    </row>
    <row r="30" spans="1:26" ht="15.6" x14ac:dyDescent="0.3">
      <c r="A30" s="114" t="s">
        <v>54</v>
      </c>
      <c r="B30" s="124">
        <f>C30*0</f>
        <v>0</v>
      </c>
      <c r="C30" s="125">
        <v>150000</v>
      </c>
      <c r="D30" s="2"/>
      <c r="G30" s="2"/>
      <c r="H30" s="2"/>
      <c r="I30" s="2"/>
      <c r="J30" s="2"/>
      <c r="K30" s="2"/>
      <c r="L30" s="2"/>
      <c r="M30" s="2"/>
      <c r="N30" s="2"/>
      <c r="O30" s="2"/>
      <c r="P30" s="2"/>
      <c r="Q30" s="2"/>
      <c r="R30" s="2"/>
      <c r="S30" s="2"/>
      <c r="T30" s="2"/>
      <c r="U30" s="2"/>
      <c r="V30" s="2"/>
      <c r="W30" s="2"/>
      <c r="X30" s="2"/>
      <c r="Y30" s="2"/>
      <c r="Z30" s="2"/>
    </row>
    <row r="31" spans="1:26" ht="15.6" x14ac:dyDescent="0.3">
      <c r="A31" s="116" t="s">
        <v>55</v>
      </c>
      <c r="B31" s="23">
        <f>(B29+B30)*C31</f>
        <v>153000</v>
      </c>
      <c r="C31" s="32">
        <v>0.18</v>
      </c>
      <c r="D31" s="33" t="s">
        <v>56</v>
      </c>
      <c r="G31" s="2"/>
      <c r="H31" s="2"/>
      <c r="I31" s="2"/>
      <c r="J31" s="2"/>
      <c r="K31" s="2"/>
      <c r="L31" s="2"/>
      <c r="M31" s="2"/>
      <c r="N31" s="2"/>
      <c r="O31" s="2"/>
      <c r="P31" s="2"/>
      <c r="Q31" s="2"/>
      <c r="R31" s="2"/>
      <c r="S31" s="2"/>
      <c r="T31" s="2"/>
      <c r="U31" s="2"/>
      <c r="V31" s="2"/>
      <c r="W31" s="2"/>
      <c r="X31" s="2"/>
      <c r="Y31" s="2"/>
      <c r="Z31" s="2"/>
    </row>
    <row r="32" spans="1:26" ht="15.6" x14ac:dyDescent="0.3">
      <c r="A32" s="116" t="s">
        <v>57</v>
      </c>
      <c r="B32" s="23">
        <f>SUM(B29:B31)*C32</f>
        <v>150450</v>
      </c>
      <c r="C32" s="126">
        <v>0.15</v>
      </c>
      <c r="D32" s="2"/>
      <c r="G32" s="2"/>
      <c r="H32" s="2"/>
      <c r="I32" s="2"/>
      <c r="J32" s="2"/>
      <c r="K32" s="2"/>
      <c r="L32" s="2"/>
      <c r="M32" s="2"/>
      <c r="N32" s="2"/>
      <c r="O32" s="2"/>
      <c r="P32" s="2"/>
      <c r="Q32" s="2"/>
      <c r="R32" s="2"/>
      <c r="S32" s="2"/>
      <c r="T32" s="2"/>
      <c r="U32" s="2"/>
      <c r="V32" s="2"/>
      <c r="W32" s="2"/>
      <c r="X32" s="2"/>
      <c r="Y32" s="2"/>
      <c r="Z32" s="2"/>
    </row>
    <row r="33" spans="1:26" ht="15.6" x14ac:dyDescent="0.3">
      <c r="A33" s="116" t="s">
        <v>58</v>
      </c>
      <c r="B33" s="23">
        <f>SUM(B29+B30)*C33</f>
        <v>34000</v>
      </c>
      <c r="C33" s="32">
        <v>0.04</v>
      </c>
      <c r="D33" s="33" t="s">
        <v>59</v>
      </c>
      <c r="G33" s="2"/>
      <c r="H33" s="2"/>
      <c r="I33" s="2"/>
      <c r="J33" s="2"/>
      <c r="K33" s="2"/>
      <c r="L33" s="2"/>
      <c r="M33" s="2"/>
      <c r="N33" s="2"/>
      <c r="O33" s="2"/>
      <c r="P33" s="2"/>
      <c r="Q33" s="2"/>
      <c r="R33" s="2"/>
      <c r="S33" s="2"/>
      <c r="T33" s="2"/>
      <c r="U33" s="2"/>
      <c r="V33" s="2"/>
      <c r="W33" s="2"/>
      <c r="X33" s="2"/>
      <c r="Y33" s="2"/>
      <c r="Z33" s="2"/>
    </row>
    <row r="34" spans="1:26" ht="15.6" x14ac:dyDescent="0.3">
      <c r="A34" s="116" t="s">
        <v>60</v>
      </c>
      <c r="B34" s="127"/>
      <c r="C34" s="116"/>
      <c r="D34" s="2"/>
      <c r="G34" s="2"/>
      <c r="H34" s="2"/>
      <c r="I34" s="2"/>
      <c r="J34" s="2"/>
      <c r="K34" s="2"/>
      <c r="L34" s="2"/>
      <c r="M34" s="2"/>
      <c r="N34" s="2"/>
      <c r="O34" s="2"/>
      <c r="P34" s="2"/>
      <c r="Q34" s="2"/>
      <c r="R34" s="2"/>
      <c r="S34" s="2"/>
      <c r="T34" s="2"/>
      <c r="U34" s="2"/>
      <c r="V34" s="2"/>
      <c r="W34" s="2"/>
      <c r="X34" s="2"/>
      <c r="Y34" s="2"/>
      <c r="Z34" s="2"/>
    </row>
    <row r="35" spans="1:26" ht="15.6" x14ac:dyDescent="0.3">
      <c r="A35" s="34" t="s">
        <v>61</v>
      </c>
      <c r="B35" s="35">
        <f>SUM(B29:B34)</f>
        <v>1187450</v>
      </c>
      <c r="C35" s="128"/>
      <c r="D35" s="2"/>
      <c r="E35" s="2"/>
      <c r="F35" s="2"/>
      <c r="G35" s="2"/>
      <c r="H35" s="2"/>
      <c r="I35" s="2"/>
      <c r="J35" s="2"/>
      <c r="K35" s="2"/>
      <c r="L35" s="2"/>
      <c r="M35" s="2"/>
      <c r="N35" s="2"/>
      <c r="O35" s="2"/>
      <c r="P35" s="2"/>
      <c r="Q35" s="2"/>
      <c r="R35" s="2"/>
      <c r="S35" s="2"/>
      <c r="T35" s="2"/>
      <c r="U35" s="2"/>
      <c r="V35" s="2"/>
      <c r="W35" s="2"/>
      <c r="X35" s="2"/>
      <c r="Y35" s="2"/>
      <c r="Z35" s="2"/>
    </row>
    <row r="36" spans="1:26" ht="15.6" x14ac:dyDescent="0.3">
      <c r="A36" s="2"/>
      <c r="B36" s="40"/>
      <c r="C36" s="2"/>
      <c r="D36" s="2"/>
      <c r="E36" s="2"/>
      <c r="H36" s="2"/>
      <c r="I36" s="2"/>
      <c r="J36" s="2"/>
      <c r="K36" s="2"/>
      <c r="L36" s="2"/>
      <c r="M36" s="2"/>
      <c r="N36" s="2"/>
      <c r="O36" s="2"/>
      <c r="P36" s="2"/>
      <c r="Q36" s="2"/>
      <c r="R36" s="2"/>
      <c r="S36" s="2"/>
      <c r="T36" s="2"/>
      <c r="U36" s="2"/>
      <c r="V36" s="2"/>
      <c r="W36" s="2"/>
      <c r="X36" s="2"/>
      <c r="Y36" s="2"/>
      <c r="Z36" s="2"/>
    </row>
    <row r="37" spans="1:26" ht="15.6" x14ac:dyDescent="0.3">
      <c r="A37" s="27" t="s">
        <v>62</v>
      </c>
      <c r="B37" s="28"/>
      <c r="C37" s="10"/>
      <c r="D37" s="2"/>
      <c r="E37" s="94"/>
      <c r="F37" s="94"/>
      <c r="G37" s="94"/>
      <c r="H37" s="94"/>
      <c r="I37" s="94"/>
      <c r="J37" s="2"/>
      <c r="K37" s="2"/>
      <c r="L37" s="2"/>
      <c r="M37" s="2"/>
      <c r="N37" s="2"/>
      <c r="O37" s="2"/>
      <c r="P37" s="2"/>
      <c r="Q37" s="2"/>
      <c r="R37" s="2"/>
      <c r="S37" s="2"/>
      <c r="T37" s="2"/>
      <c r="U37" s="2"/>
      <c r="V37" s="2"/>
      <c r="W37" s="2"/>
      <c r="X37" s="2"/>
      <c r="Y37" s="2"/>
      <c r="Z37" s="2"/>
    </row>
    <row r="38" spans="1:26" ht="15.6" x14ac:dyDescent="0.3">
      <c r="A38" s="111" t="s">
        <v>63</v>
      </c>
      <c r="B38" s="23">
        <f>SUM(B29+B30)*C38</f>
        <v>29750.000000000004</v>
      </c>
      <c r="C38" s="36">
        <v>3.5000000000000003E-2</v>
      </c>
      <c r="D38" s="2"/>
      <c r="E38" s="40"/>
      <c r="F38" s="95"/>
      <c r="G38" s="95"/>
      <c r="H38" s="95"/>
      <c r="I38" s="95"/>
      <c r="J38" s="2"/>
      <c r="K38" s="2"/>
      <c r="L38" s="2"/>
      <c r="M38" s="2"/>
      <c r="N38" s="2"/>
      <c r="O38" s="2"/>
      <c r="P38" s="2"/>
      <c r="Q38" s="2"/>
      <c r="R38" s="2"/>
      <c r="S38" s="2"/>
      <c r="T38" s="2"/>
      <c r="U38" s="2"/>
      <c r="V38" s="2"/>
      <c r="W38" s="2"/>
      <c r="X38" s="2"/>
      <c r="Y38" s="2"/>
      <c r="Z38" s="2"/>
    </row>
    <row r="39" spans="1:26" ht="15.6" x14ac:dyDescent="0.3">
      <c r="A39" s="116" t="s">
        <v>64</v>
      </c>
      <c r="B39" s="23">
        <v>25500</v>
      </c>
      <c r="C39" s="116"/>
      <c r="D39" s="2"/>
      <c r="E39" s="96"/>
      <c r="F39" s="40"/>
      <c r="G39" s="40"/>
      <c r="H39" s="40"/>
      <c r="I39" s="40"/>
      <c r="J39" s="2"/>
      <c r="K39" s="2"/>
      <c r="L39" s="2"/>
      <c r="M39" s="2"/>
      <c r="N39" s="2"/>
      <c r="O39" s="2"/>
      <c r="P39" s="2"/>
      <c r="Q39" s="2"/>
      <c r="R39" s="2"/>
      <c r="S39" s="2"/>
      <c r="T39" s="2"/>
      <c r="U39" s="2"/>
      <c r="V39" s="2"/>
      <c r="W39" s="2"/>
      <c r="X39" s="2"/>
      <c r="Y39" s="2"/>
      <c r="Z39" s="2"/>
    </row>
    <row r="40" spans="1:26" ht="15.6" x14ac:dyDescent="0.3">
      <c r="A40" s="116" t="s">
        <v>65</v>
      </c>
      <c r="B40" s="127"/>
      <c r="C40" s="116"/>
      <c r="D40" s="2"/>
      <c r="E40" s="96"/>
      <c r="F40" s="40"/>
      <c r="G40" s="40"/>
      <c r="H40" s="40"/>
      <c r="I40" s="40"/>
      <c r="J40" s="2"/>
      <c r="K40" s="2"/>
      <c r="L40" s="2"/>
      <c r="M40" s="2"/>
      <c r="N40" s="2"/>
      <c r="O40" s="2"/>
      <c r="P40" s="2"/>
      <c r="Q40" s="2"/>
      <c r="R40" s="2"/>
      <c r="S40" s="2"/>
      <c r="T40" s="2"/>
      <c r="U40" s="2"/>
      <c r="V40" s="2"/>
      <c r="W40" s="2"/>
      <c r="X40" s="2"/>
      <c r="Y40" s="2"/>
      <c r="Z40" s="2"/>
    </row>
    <row r="41" spans="1:26" ht="15.6" x14ac:dyDescent="0.3">
      <c r="A41" s="116" t="s">
        <v>66</v>
      </c>
      <c r="B41" s="127"/>
      <c r="C41" s="37">
        <v>1.18E-2</v>
      </c>
      <c r="D41" s="2"/>
      <c r="E41" s="96"/>
      <c r="F41" s="40"/>
      <c r="G41" s="40"/>
      <c r="H41" s="40"/>
      <c r="I41" s="40"/>
      <c r="J41" s="2"/>
      <c r="K41" s="2"/>
      <c r="L41" s="2"/>
      <c r="M41" s="2"/>
      <c r="N41" s="2"/>
      <c r="O41" s="2"/>
      <c r="P41" s="2"/>
      <c r="Q41" s="2"/>
      <c r="R41" s="2"/>
      <c r="S41" s="2"/>
      <c r="T41" s="2"/>
      <c r="U41" s="2"/>
      <c r="V41" s="2"/>
      <c r="W41" s="2"/>
      <c r="X41" s="2"/>
      <c r="Y41" s="2"/>
      <c r="Z41" s="2"/>
    </row>
    <row r="42" spans="1:26" ht="15.6" x14ac:dyDescent="0.3">
      <c r="A42" s="116" t="s">
        <v>67</v>
      </c>
      <c r="B42" s="127"/>
      <c r="C42" s="116"/>
      <c r="D42" s="2"/>
      <c r="E42" s="96"/>
      <c r="F42" s="40"/>
      <c r="G42" s="40"/>
      <c r="H42" s="40"/>
      <c r="I42" s="40"/>
      <c r="J42" s="2"/>
      <c r="K42" s="2"/>
      <c r="L42" s="2"/>
      <c r="M42" s="2"/>
      <c r="N42" s="2"/>
      <c r="O42" s="2"/>
      <c r="P42" s="2"/>
      <c r="Q42" s="2"/>
      <c r="R42" s="2"/>
      <c r="S42" s="2"/>
      <c r="T42" s="2"/>
      <c r="U42" s="2"/>
      <c r="V42" s="2"/>
      <c r="W42" s="2"/>
      <c r="X42" s="2"/>
      <c r="Y42" s="2"/>
      <c r="Z42" s="2"/>
    </row>
    <row r="43" spans="1:26" ht="15.6" x14ac:dyDescent="0.3">
      <c r="A43" s="116" t="s">
        <v>68</v>
      </c>
      <c r="B43" s="23">
        <f>SUM(B38:B42)*C43</f>
        <v>8287.5</v>
      </c>
      <c r="C43" s="32">
        <v>0.15</v>
      </c>
      <c r="D43" s="2"/>
      <c r="E43" s="96"/>
      <c r="F43" s="40"/>
      <c r="G43" s="40"/>
      <c r="H43" s="40"/>
      <c r="I43" s="40"/>
      <c r="J43" s="2"/>
      <c r="K43" s="2"/>
      <c r="L43" s="2"/>
      <c r="M43" s="2"/>
      <c r="N43" s="2"/>
      <c r="O43" s="2"/>
      <c r="P43" s="2"/>
      <c r="Q43" s="2"/>
      <c r="R43" s="2"/>
      <c r="S43" s="2"/>
      <c r="T43" s="2"/>
      <c r="U43" s="2"/>
      <c r="V43" s="2"/>
      <c r="W43" s="2"/>
      <c r="X43" s="2"/>
      <c r="Y43" s="2"/>
      <c r="Z43" s="2"/>
    </row>
    <row r="44" spans="1:26" ht="15.6" x14ac:dyDescent="0.3">
      <c r="A44" s="34" t="s">
        <v>69</v>
      </c>
      <c r="B44" s="35">
        <f>SUM(B38:B43)</f>
        <v>63537.5</v>
      </c>
      <c r="C44" s="15"/>
      <c r="D44" s="2"/>
      <c r="E44" s="96"/>
      <c r="F44" s="40"/>
      <c r="G44" s="40"/>
      <c r="H44" s="40"/>
      <c r="I44" s="40"/>
      <c r="J44" s="2"/>
      <c r="K44" s="2"/>
      <c r="L44" s="2"/>
      <c r="M44" s="2"/>
      <c r="N44" s="2"/>
      <c r="O44" s="2"/>
      <c r="P44" s="2"/>
      <c r="Q44" s="2"/>
      <c r="R44" s="2"/>
      <c r="S44" s="2"/>
      <c r="T44" s="2"/>
      <c r="U44" s="2"/>
      <c r="V44" s="2"/>
      <c r="W44" s="2"/>
      <c r="X44" s="2"/>
      <c r="Y44" s="2"/>
      <c r="Z44" s="2"/>
    </row>
    <row r="45" spans="1:26" ht="15.6" x14ac:dyDescent="0.3">
      <c r="A45" s="87"/>
      <c r="B45" s="40"/>
      <c r="C45" s="2"/>
      <c r="D45" s="2"/>
      <c r="E45" s="96"/>
      <c r="F45" s="40"/>
      <c r="G45" s="40"/>
      <c r="H45" s="40"/>
      <c r="I45" s="40"/>
      <c r="J45" s="2"/>
      <c r="K45" s="2"/>
      <c r="L45" s="2"/>
      <c r="M45" s="2"/>
      <c r="N45" s="2"/>
      <c r="O45" s="2"/>
      <c r="P45" s="2"/>
      <c r="Q45" s="2"/>
      <c r="R45" s="2"/>
      <c r="S45" s="2"/>
      <c r="T45" s="2"/>
      <c r="U45" s="2"/>
      <c r="V45" s="2"/>
      <c r="W45" s="2"/>
      <c r="X45" s="2"/>
      <c r="Y45" s="2"/>
      <c r="Z45" s="2"/>
    </row>
    <row r="46" spans="1:26" ht="15.6" x14ac:dyDescent="0.3">
      <c r="A46" s="34" t="s">
        <v>70</v>
      </c>
      <c r="B46" s="39"/>
      <c r="C46" s="111"/>
      <c r="D46" s="2"/>
      <c r="E46" s="96"/>
      <c r="F46" s="40"/>
      <c r="G46" s="40"/>
      <c r="H46" s="40"/>
      <c r="I46" s="40"/>
      <c r="J46" s="2"/>
      <c r="K46" s="2"/>
      <c r="L46" s="2"/>
      <c r="M46" s="2"/>
      <c r="N46" s="2"/>
      <c r="O46" s="2"/>
      <c r="P46" s="2"/>
      <c r="Q46" s="2"/>
      <c r="R46" s="2"/>
      <c r="S46" s="2"/>
      <c r="T46" s="2"/>
      <c r="U46" s="2"/>
      <c r="V46" s="2"/>
      <c r="W46" s="2"/>
      <c r="X46" s="2"/>
      <c r="Y46" s="2"/>
      <c r="Z46" s="2"/>
    </row>
    <row r="47" spans="1:26" ht="15.6" x14ac:dyDescent="0.3">
      <c r="A47" s="111" t="s">
        <v>71</v>
      </c>
      <c r="B47" s="23">
        <f ca="1">'3.Intake Form'!B46</f>
        <v>104449.66905492138</v>
      </c>
      <c r="C47" s="117">
        <v>1.2500000000000001E-2</v>
      </c>
      <c r="D47" s="2"/>
      <c r="E47" s="96"/>
      <c r="F47" s="40"/>
      <c r="G47" s="40"/>
      <c r="H47" s="40"/>
      <c r="I47" s="40"/>
      <c r="J47" s="2"/>
      <c r="K47" s="2"/>
      <c r="L47" s="2"/>
      <c r="M47" s="2"/>
      <c r="N47" s="2"/>
      <c r="O47" s="2"/>
      <c r="P47" s="2"/>
      <c r="Q47" s="2"/>
      <c r="R47" s="2"/>
      <c r="S47" s="2"/>
      <c r="T47" s="2"/>
      <c r="U47" s="2"/>
      <c r="V47" s="2"/>
      <c r="W47" s="2"/>
      <c r="X47" s="2"/>
      <c r="Y47" s="2"/>
      <c r="Z47" s="2"/>
    </row>
    <row r="48" spans="1:26" ht="15.6" x14ac:dyDescent="0.3">
      <c r="A48" s="128" t="s">
        <v>17</v>
      </c>
      <c r="B48" s="23">
        <f ca="1">'3.Intake Form'!B47</f>
        <v>393736.97235363035</v>
      </c>
      <c r="C48" s="116"/>
      <c r="D48" s="2"/>
      <c r="E48" s="96"/>
      <c r="F48" s="40"/>
      <c r="G48" s="40"/>
      <c r="H48" s="40"/>
      <c r="I48" s="40"/>
      <c r="J48" s="2"/>
      <c r="K48" s="2"/>
      <c r="L48" s="2"/>
      <c r="M48" s="2"/>
      <c r="N48" s="2"/>
      <c r="O48" s="2"/>
      <c r="P48" s="2"/>
      <c r="Q48" s="2"/>
      <c r="R48" s="2"/>
      <c r="S48" s="2"/>
      <c r="T48" s="2"/>
      <c r="U48" s="2"/>
      <c r="V48" s="2"/>
      <c r="W48" s="2"/>
      <c r="X48" s="2"/>
      <c r="Y48" s="2"/>
      <c r="Z48" s="2"/>
    </row>
    <row r="49" spans="1:26" ht="15.6" x14ac:dyDescent="0.3">
      <c r="A49" s="12" t="s">
        <v>72</v>
      </c>
      <c r="B49" s="26">
        <f ca="1">'3.Intake Form'!B49</f>
        <v>556146.51708912349</v>
      </c>
      <c r="C49" s="128"/>
      <c r="D49" s="2"/>
      <c r="E49" s="2"/>
      <c r="F49" s="2"/>
      <c r="G49" s="40"/>
      <c r="H49" s="2"/>
      <c r="I49" s="2"/>
      <c r="J49" s="2"/>
      <c r="K49" s="2"/>
      <c r="L49" s="2"/>
      <c r="M49" s="2"/>
      <c r="N49" s="2"/>
      <c r="O49" s="2"/>
      <c r="P49" s="2"/>
      <c r="Q49" s="2"/>
      <c r="R49" s="2"/>
      <c r="S49" s="2"/>
      <c r="T49" s="2"/>
      <c r="U49" s="2"/>
      <c r="V49" s="2"/>
      <c r="W49" s="2"/>
      <c r="X49" s="2"/>
      <c r="Y49" s="2"/>
      <c r="Z49" s="2"/>
    </row>
    <row r="50" spans="1:26" ht="15.6" x14ac:dyDescent="0.3">
      <c r="A50" s="41"/>
      <c r="B50" s="2"/>
      <c r="C50" s="40"/>
      <c r="D50" s="2"/>
      <c r="E50" s="2"/>
      <c r="F50" s="2"/>
      <c r="G50" s="40"/>
      <c r="H50" s="2"/>
      <c r="I50" s="2"/>
      <c r="J50" s="2"/>
      <c r="K50" s="2"/>
      <c r="L50" s="2"/>
      <c r="M50" s="2"/>
      <c r="N50" s="2"/>
      <c r="O50" s="2"/>
      <c r="P50" s="2"/>
      <c r="Q50" s="2"/>
      <c r="R50" s="2"/>
      <c r="S50" s="2"/>
      <c r="T50" s="2"/>
      <c r="U50" s="2"/>
      <c r="V50" s="2"/>
      <c r="W50" s="2"/>
      <c r="X50" s="2"/>
      <c r="Y50" s="2"/>
      <c r="Z50" s="2"/>
    </row>
    <row r="51" spans="1:26" ht="15.6" x14ac:dyDescent="0.3">
      <c r="A51" s="34" t="s">
        <v>73</v>
      </c>
      <c r="B51" s="39"/>
      <c r="C51" s="111"/>
      <c r="D51" s="2"/>
      <c r="E51" s="2"/>
      <c r="F51" s="2"/>
      <c r="G51" s="40"/>
      <c r="H51" s="2"/>
      <c r="I51" s="2"/>
      <c r="J51" s="2"/>
      <c r="K51" s="2"/>
      <c r="L51" s="2"/>
      <c r="M51" s="2"/>
      <c r="N51" s="2"/>
      <c r="O51" s="2"/>
      <c r="P51" s="2"/>
      <c r="Q51" s="2"/>
      <c r="R51" s="2"/>
      <c r="S51" s="2"/>
      <c r="T51" s="2"/>
      <c r="U51" s="2"/>
      <c r="V51" s="2"/>
      <c r="W51" s="2"/>
      <c r="X51" s="2"/>
      <c r="Y51" s="2"/>
      <c r="Z51" s="2"/>
    </row>
    <row r="52" spans="1:26" ht="15.6" x14ac:dyDescent="0.3">
      <c r="A52" s="111" t="s">
        <v>74</v>
      </c>
      <c r="B52" s="112">
        <f>600*B7</f>
        <v>7200</v>
      </c>
      <c r="C52" s="130" t="s">
        <v>75</v>
      </c>
      <c r="D52" s="2"/>
      <c r="E52" s="2"/>
      <c r="F52" s="2"/>
      <c r="G52" s="40"/>
      <c r="H52" s="2"/>
      <c r="I52" s="2"/>
      <c r="J52" s="2"/>
      <c r="K52" s="2"/>
      <c r="L52" s="2"/>
      <c r="M52" s="2"/>
      <c r="N52" s="2"/>
      <c r="O52" s="2"/>
      <c r="P52" s="2"/>
      <c r="Q52" s="2"/>
      <c r="R52" s="2"/>
      <c r="S52" s="2"/>
      <c r="T52" s="2"/>
      <c r="U52" s="2"/>
      <c r="V52" s="2"/>
      <c r="W52" s="2"/>
      <c r="X52" s="2"/>
      <c r="Y52" s="2"/>
      <c r="Z52" s="2"/>
    </row>
    <row r="53" spans="1:26" ht="15.6" x14ac:dyDescent="0.3">
      <c r="A53" s="128" t="s">
        <v>76</v>
      </c>
      <c r="B53" s="112"/>
      <c r="C53" s="116"/>
      <c r="D53" s="2"/>
      <c r="E53" s="2"/>
      <c r="F53" s="2"/>
      <c r="G53" s="40"/>
      <c r="H53" s="2"/>
      <c r="I53" s="2"/>
      <c r="J53" s="2"/>
      <c r="K53" s="2"/>
      <c r="L53" s="2"/>
      <c r="M53" s="2"/>
      <c r="N53" s="2"/>
      <c r="O53" s="2"/>
      <c r="P53" s="2"/>
      <c r="Q53" s="2"/>
      <c r="R53" s="2"/>
      <c r="S53" s="2"/>
      <c r="T53" s="2"/>
      <c r="U53" s="2"/>
      <c r="V53" s="2"/>
      <c r="W53" s="2"/>
      <c r="X53" s="2"/>
      <c r="Y53" s="2"/>
      <c r="Z53" s="2"/>
    </row>
    <row r="54" spans="1:26" ht="15.6" x14ac:dyDescent="0.3">
      <c r="A54" s="12" t="s">
        <v>77</v>
      </c>
      <c r="B54" s="26">
        <f>SUM(B52:B53)</f>
        <v>7200</v>
      </c>
      <c r="C54" s="128"/>
      <c r="D54" s="43"/>
      <c r="E54" s="2"/>
      <c r="F54" s="2"/>
      <c r="G54" s="40"/>
      <c r="H54" s="2"/>
      <c r="I54" s="2"/>
      <c r="J54" s="2"/>
      <c r="K54" s="2"/>
      <c r="L54" s="2"/>
      <c r="M54" s="2"/>
      <c r="N54" s="2"/>
      <c r="O54" s="2"/>
      <c r="P54" s="2"/>
      <c r="Q54" s="2"/>
      <c r="R54" s="2"/>
      <c r="S54" s="2"/>
      <c r="T54" s="2"/>
      <c r="U54" s="2"/>
      <c r="V54" s="2"/>
      <c r="W54" s="2"/>
      <c r="X54" s="2"/>
      <c r="Y54" s="2"/>
      <c r="Z54" s="2"/>
    </row>
    <row r="55" spans="1:26" ht="15.6" x14ac:dyDescent="0.3">
      <c r="A55" s="43"/>
      <c r="B55" s="51"/>
      <c r="C55" s="43"/>
      <c r="D55" s="43"/>
      <c r="E55" s="2"/>
      <c r="F55" s="2"/>
      <c r="G55" s="40"/>
      <c r="H55" s="2"/>
      <c r="I55" s="2"/>
      <c r="J55" s="2"/>
      <c r="K55" s="2"/>
      <c r="L55" s="2"/>
      <c r="M55" s="2"/>
      <c r="N55" s="2"/>
      <c r="O55" s="2"/>
      <c r="P55" s="2"/>
      <c r="Q55" s="2"/>
      <c r="R55" s="2"/>
      <c r="S55" s="2"/>
      <c r="T55" s="2"/>
      <c r="U55" s="2"/>
      <c r="V55" s="2"/>
      <c r="W55" s="2"/>
      <c r="X55" s="2"/>
      <c r="Y55" s="2"/>
      <c r="Z55" s="2"/>
    </row>
    <row r="56" spans="1:26" ht="15.6" x14ac:dyDescent="0.3">
      <c r="A56" s="34" t="s">
        <v>78</v>
      </c>
      <c r="B56" s="39"/>
      <c r="C56" s="154">
        <v>105000</v>
      </c>
      <c r="D56" s="151" t="s">
        <v>79</v>
      </c>
      <c r="E56" s="2"/>
      <c r="F56" s="2"/>
      <c r="G56" s="40"/>
      <c r="H56" s="2"/>
      <c r="I56" s="2"/>
      <c r="J56" s="2"/>
      <c r="K56" s="2"/>
      <c r="L56" s="2"/>
      <c r="M56" s="2"/>
      <c r="N56" s="2"/>
      <c r="O56" s="2"/>
      <c r="P56" s="2"/>
      <c r="Q56" s="2"/>
      <c r="R56" s="2"/>
      <c r="S56" s="2"/>
      <c r="T56" s="2"/>
      <c r="U56" s="2"/>
      <c r="V56" s="2"/>
      <c r="W56" s="2"/>
      <c r="X56" s="2"/>
      <c r="Y56" s="2"/>
      <c r="Z56" s="2"/>
    </row>
    <row r="57" spans="1:26" ht="15.6" x14ac:dyDescent="0.3">
      <c r="A57" s="34"/>
      <c r="B57" s="45"/>
      <c r="C57" s="154">
        <v>10000</v>
      </c>
      <c r="D57" s="152" t="s">
        <v>80</v>
      </c>
      <c r="E57" s="2"/>
      <c r="F57" s="2"/>
      <c r="G57" s="40"/>
      <c r="H57" s="2"/>
      <c r="I57" s="2"/>
      <c r="J57" s="2"/>
      <c r="K57" s="2"/>
      <c r="L57" s="2"/>
      <c r="M57" s="2"/>
      <c r="N57" s="2"/>
      <c r="O57" s="2"/>
      <c r="P57" s="2"/>
      <c r="Q57" s="2"/>
      <c r="R57" s="2"/>
      <c r="S57" s="2"/>
      <c r="T57" s="2"/>
      <c r="U57" s="2"/>
      <c r="V57" s="2"/>
      <c r="W57" s="2"/>
      <c r="X57" s="2"/>
      <c r="Y57" s="2"/>
      <c r="Z57" s="2"/>
    </row>
    <row r="58" spans="1:26" ht="15.6" x14ac:dyDescent="0.3">
      <c r="A58" s="15" t="s">
        <v>50</v>
      </c>
      <c r="B58" s="156">
        <f>C56+(F26*10000)+C58</f>
        <v>105000</v>
      </c>
      <c r="C58" s="154">
        <v>0</v>
      </c>
      <c r="D58" s="153" t="s">
        <v>129</v>
      </c>
      <c r="E58" s="2"/>
      <c r="F58" s="2"/>
      <c r="G58" s="40"/>
      <c r="H58" s="2"/>
      <c r="I58" s="2"/>
      <c r="J58" s="2"/>
      <c r="K58" s="2"/>
      <c r="L58" s="2"/>
      <c r="M58" s="2"/>
      <c r="N58" s="2"/>
      <c r="O58" s="2"/>
      <c r="P58" s="2"/>
      <c r="Q58" s="2"/>
      <c r="R58" s="2"/>
      <c r="S58" s="2"/>
      <c r="T58" s="2"/>
      <c r="U58" s="2"/>
      <c r="V58" s="2"/>
      <c r="W58" s="2"/>
      <c r="X58" s="2"/>
      <c r="Y58" s="2"/>
      <c r="Z58" s="2"/>
    </row>
    <row r="59" spans="1:26" ht="15.6" x14ac:dyDescent="0.3">
      <c r="A59" s="129"/>
      <c r="B59" s="43"/>
      <c r="C59" s="97"/>
      <c r="D59" s="2"/>
      <c r="E59" s="2"/>
      <c r="F59" s="2"/>
      <c r="G59" s="40"/>
      <c r="H59" s="2"/>
      <c r="I59" s="2"/>
      <c r="J59" s="2"/>
      <c r="K59" s="2"/>
      <c r="L59" s="2"/>
      <c r="M59" s="2"/>
      <c r="N59" s="2"/>
      <c r="O59" s="2"/>
      <c r="P59" s="2"/>
      <c r="Q59" s="2"/>
      <c r="R59" s="2"/>
      <c r="S59" s="2"/>
      <c r="T59" s="2"/>
      <c r="U59" s="2"/>
      <c r="V59" s="2"/>
      <c r="W59" s="2"/>
      <c r="X59" s="2"/>
      <c r="Y59" s="2"/>
      <c r="Z59" s="2"/>
    </row>
    <row r="60" spans="1:26" ht="15.6" x14ac:dyDescent="0.3">
      <c r="A60" s="34" t="s">
        <v>81</v>
      </c>
      <c r="B60" s="6"/>
      <c r="C60" s="114"/>
      <c r="D60" s="2"/>
      <c r="E60" s="2"/>
      <c r="F60" s="2"/>
      <c r="G60" s="40"/>
      <c r="H60" s="2"/>
      <c r="I60" s="2"/>
      <c r="J60" s="2"/>
      <c r="K60" s="2"/>
      <c r="L60" s="2"/>
      <c r="M60" s="2"/>
      <c r="N60" s="2"/>
      <c r="O60" s="2"/>
      <c r="P60" s="2"/>
      <c r="Q60" s="2"/>
      <c r="R60" s="2"/>
      <c r="S60" s="2"/>
      <c r="T60" s="2"/>
      <c r="U60" s="2"/>
      <c r="V60" s="2"/>
      <c r="W60" s="2"/>
      <c r="X60" s="2"/>
      <c r="Y60" s="2"/>
      <c r="Z60" s="2"/>
    </row>
    <row r="61" spans="1:26" ht="15.6" x14ac:dyDescent="0.3">
      <c r="A61" s="46" t="s">
        <v>82</v>
      </c>
      <c r="B61" s="112">
        <v>0</v>
      </c>
      <c r="C61" s="114"/>
      <c r="D61" s="2"/>
      <c r="E61" s="2"/>
      <c r="F61" s="2"/>
      <c r="G61" s="40"/>
      <c r="H61" s="2"/>
      <c r="I61" s="2"/>
      <c r="J61" s="2"/>
      <c r="K61" s="2"/>
      <c r="L61" s="2"/>
      <c r="M61" s="2"/>
      <c r="N61" s="2"/>
      <c r="O61" s="2"/>
      <c r="P61" s="2"/>
      <c r="Q61" s="2"/>
      <c r="R61" s="2"/>
      <c r="S61" s="2"/>
      <c r="T61" s="2"/>
      <c r="U61" s="2"/>
      <c r="V61" s="2"/>
      <c r="W61" s="2"/>
      <c r="X61" s="2"/>
      <c r="Y61" s="2"/>
      <c r="Z61" s="2"/>
    </row>
    <row r="62" spans="1:26" ht="15.6" x14ac:dyDescent="0.3">
      <c r="A62" s="47" t="s">
        <v>131</v>
      </c>
      <c r="B62" s="112">
        <v>0</v>
      </c>
      <c r="C62" s="114"/>
      <c r="D62" s="2"/>
      <c r="E62" s="2"/>
      <c r="F62" s="2"/>
      <c r="G62" s="40"/>
      <c r="H62" s="2"/>
      <c r="I62" s="2"/>
      <c r="J62" s="2"/>
      <c r="K62" s="2"/>
      <c r="L62" s="2"/>
      <c r="M62" s="2"/>
      <c r="N62" s="2"/>
      <c r="O62" s="2"/>
      <c r="P62" s="2"/>
      <c r="Q62" s="2"/>
      <c r="R62" s="2"/>
      <c r="S62" s="2"/>
      <c r="T62" s="2"/>
      <c r="U62" s="2"/>
      <c r="V62" s="2"/>
      <c r="W62" s="2"/>
      <c r="X62" s="2"/>
      <c r="Y62" s="2"/>
      <c r="Z62" s="2"/>
    </row>
    <row r="63" spans="1:26" ht="15.6" x14ac:dyDescent="0.3">
      <c r="A63" s="47"/>
      <c r="B63" s="112">
        <v>0</v>
      </c>
      <c r="C63" s="114"/>
      <c r="D63" s="2"/>
      <c r="E63" s="2"/>
      <c r="F63" s="2"/>
      <c r="G63" s="40"/>
      <c r="H63" s="2"/>
      <c r="I63" s="2"/>
      <c r="J63" s="2"/>
      <c r="K63" s="2"/>
      <c r="L63" s="2"/>
      <c r="M63" s="2"/>
      <c r="N63" s="2"/>
      <c r="O63" s="2"/>
      <c r="P63" s="2"/>
      <c r="Q63" s="2"/>
      <c r="R63" s="2"/>
      <c r="S63" s="2"/>
      <c r="T63" s="2"/>
      <c r="U63" s="2"/>
      <c r="V63" s="2"/>
      <c r="W63" s="2"/>
      <c r="X63" s="2"/>
      <c r="Y63" s="2"/>
      <c r="Z63" s="2"/>
    </row>
    <row r="64" spans="1:26" ht="15.6" x14ac:dyDescent="0.3">
      <c r="A64" s="47"/>
      <c r="B64" s="112">
        <v>0</v>
      </c>
      <c r="C64" s="114"/>
      <c r="D64" s="2"/>
      <c r="E64" s="2"/>
      <c r="F64" s="2"/>
      <c r="G64" s="40"/>
      <c r="H64" s="2"/>
      <c r="I64" s="2"/>
      <c r="J64" s="2"/>
      <c r="K64" s="2"/>
      <c r="L64" s="2"/>
      <c r="M64" s="2"/>
      <c r="N64" s="2"/>
      <c r="O64" s="2"/>
      <c r="P64" s="2"/>
      <c r="Q64" s="2"/>
      <c r="R64" s="2"/>
      <c r="S64" s="2"/>
      <c r="T64" s="2"/>
      <c r="U64" s="2"/>
      <c r="V64" s="2"/>
      <c r="W64" s="2"/>
      <c r="X64" s="2"/>
      <c r="Y64" s="2"/>
      <c r="Z64" s="2"/>
    </row>
    <row r="65" spans="1:26" ht="15.6" x14ac:dyDescent="0.3">
      <c r="A65" s="48"/>
      <c r="B65" s="131">
        <v>0</v>
      </c>
      <c r="C65" s="114"/>
      <c r="D65" s="42"/>
      <c r="E65" s="2"/>
      <c r="F65" s="2"/>
      <c r="G65" s="40"/>
      <c r="H65" s="2"/>
      <c r="I65" s="2"/>
      <c r="J65" s="2"/>
      <c r="K65" s="2"/>
      <c r="L65" s="2"/>
      <c r="M65" s="2"/>
      <c r="N65" s="2"/>
      <c r="O65" s="2"/>
      <c r="P65" s="2"/>
      <c r="Q65" s="2"/>
      <c r="R65" s="2"/>
      <c r="S65" s="2"/>
      <c r="T65" s="2"/>
      <c r="U65" s="2"/>
      <c r="V65" s="2"/>
      <c r="W65" s="2"/>
      <c r="X65" s="2"/>
      <c r="Y65" s="2"/>
      <c r="Z65" s="2"/>
    </row>
    <row r="66" spans="1:26" ht="15.6" x14ac:dyDescent="0.3">
      <c r="A66" s="12" t="s">
        <v>83</v>
      </c>
      <c r="B66" s="16">
        <f>SUM(B61:B65)</f>
        <v>0</v>
      </c>
      <c r="C66" s="144">
        <f>B66/F27</f>
        <v>0</v>
      </c>
      <c r="D66" s="49" t="s">
        <v>80</v>
      </c>
      <c r="E66" s="2"/>
      <c r="F66" s="2"/>
      <c r="G66" s="40"/>
      <c r="H66" s="2"/>
      <c r="I66" s="2"/>
      <c r="J66" s="2"/>
      <c r="K66" s="2"/>
      <c r="L66" s="2"/>
      <c r="M66" s="2"/>
      <c r="N66" s="2"/>
      <c r="O66" s="2"/>
      <c r="P66" s="2"/>
      <c r="Q66" s="2"/>
      <c r="R66" s="2"/>
      <c r="S66" s="2"/>
      <c r="T66" s="2"/>
      <c r="U66" s="2"/>
      <c r="V66" s="2"/>
      <c r="W66" s="2"/>
      <c r="X66" s="2"/>
      <c r="Y66" s="2"/>
      <c r="Z66" s="2"/>
    </row>
    <row r="67" spans="1:26" ht="15.6" x14ac:dyDescent="0.3">
      <c r="A67" s="122"/>
      <c r="B67" s="2"/>
      <c r="C67" s="98"/>
      <c r="D67" s="2"/>
      <c r="E67" s="2"/>
      <c r="F67" s="2"/>
      <c r="G67" s="40"/>
      <c r="H67" s="2"/>
      <c r="I67" s="2"/>
      <c r="J67" s="2"/>
      <c r="K67" s="2"/>
      <c r="L67" s="2"/>
      <c r="M67" s="2"/>
      <c r="N67" s="2"/>
      <c r="O67" s="2"/>
      <c r="P67" s="2"/>
      <c r="Q67" s="2"/>
      <c r="R67" s="2"/>
      <c r="S67" s="2"/>
      <c r="T67" s="2"/>
      <c r="U67" s="2"/>
      <c r="V67" s="2"/>
      <c r="W67" s="2"/>
      <c r="X67" s="2"/>
      <c r="Y67" s="2"/>
      <c r="Z67" s="2"/>
    </row>
    <row r="68" spans="1:26" ht="15.6" x14ac:dyDescent="0.3">
      <c r="A68" s="27" t="s">
        <v>84</v>
      </c>
      <c r="B68" s="9">
        <f ca="1">'3.Intake Form'!B70</f>
        <v>9183154.9736108612</v>
      </c>
      <c r="C68" s="145">
        <f ca="1">'3.Intake Form'!C70</f>
        <v>918315.49736108608</v>
      </c>
      <c r="D68" s="2"/>
      <c r="E68" s="2"/>
      <c r="F68" s="2"/>
      <c r="G68" s="40"/>
      <c r="H68" s="2"/>
      <c r="I68" s="2"/>
      <c r="J68" s="2"/>
      <c r="K68" s="2"/>
      <c r="L68" s="2"/>
      <c r="M68" s="2"/>
      <c r="N68" s="2"/>
      <c r="O68" s="2"/>
      <c r="P68" s="2"/>
      <c r="Q68" s="2"/>
      <c r="R68" s="2"/>
      <c r="S68" s="2"/>
      <c r="T68" s="2"/>
      <c r="U68" s="2"/>
      <c r="V68" s="2"/>
      <c r="W68" s="2"/>
      <c r="X68" s="2"/>
      <c r="Y68" s="2"/>
      <c r="Z68" s="2"/>
    </row>
    <row r="69" spans="1:26" ht="15.6" x14ac:dyDescent="0.3">
      <c r="A69" s="2"/>
      <c r="B69" s="2"/>
      <c r="C69" s="2"/>
      <c r="D69" s="2"/>
      <c r="E69" s="2"/>
      <c r="F69" s="2"/>
      <c r="G69" s="40"/>
      <c r="H69" s="2"/>
      <c r="I69" s="2"/>
      <c r="J69" s="2"/>
      <c r="K69" s="2"/>
      <c r="L69" s="2"/>
      <c r="M69" s="2"/>
      <c r="N69" s="2"/>
      <c r="O69" s="2"/>
      <c r="P69" s="2"/>
      <c r="Q69" s="2"/>
      <c r="R69" s="2"/>
      <c r="S69" s="2"/>
      <c r="T69" s="2"/>
      <c r="U69" s="2"/>
      <c r="V69" s="2"/>
      <c r="W69" s="2"/>
      <c r="X69" s="2"/>
      <c r="Y69" s="2"/>
      <c r="Z69" s="2"/>
    </row>
    <row r="70" spans="1:26" ht="28.8" x14ac:dyDescent="0.3">
      <c r="A70" s="54" t="s">
        <v>92</v>
      </c>
      <c r="B70" s="54" t="s">
        <v>93</v>
      </c>
      <c r="C70" s="132" t="s">
        <v>94</v>
      </c>
      <c r="D70" s="133" t="s">
        <v>95</v>
      </c>
      <c r="E70" s="146" t="s">
        <v>96</v>
      </c>
      <c r="F70" s="55" t="s">
        <v>97</v>
      </c>
      <c r="G70" s="56" t="s">
        <v>98</v>
      </c>
      <c r="H70" s="57" t="s">
        <v>99</v>
      </c>
      <c r="I70" s="134" t="s">
        <v>100</v>
      </c>
      <c r="J70" s="2"/>
      <c r="K70" s="2"/>
      <c r="L70" s="2"/>
      <c r="M70" s="2"/>
      <c r="N70" s="2"/>
      <c r="O70" s="2"/>
      <c r="P70" s="2"/>
      <c r="Q70" s="2"/>
      <c r="R70" s="2"/>
      <c r="S70" s="2"/>
      <c r="T70" s="2"/>
      <c r="U70" s="2"/>
      <c r="V70" s="2"/>
      <c r="W70" s="2"/>
      <c r="X70" s="2"/>
      <c r="Y70" s="2"/>
      <c r="Z70" s="2"/>
    </row>
    <row r="71" spans="1:26" ht="15.75" customHeight="1" x14ac:dyDescent="0.3">
      <c r="A71" s="116" t="s">
        <v>101</v>
      </c>
      <c r="B71" s="58">
        <v>0</v>
      </c>
      <c r="C71" s="147">
        <v>0.5</v>
      </c>
      <c r="D71" s="135">
        <f ca="1">OFFSET(SSP_CF!$B$22,MATCH($C71,SSP_CF!$B$22:$B$42,0)-1,MATCH($A71,SSP_CF!$B$22:$G$22,0)-1)</f>
        <v>1213</v>
      </c>
      <c r="E71" s="99">
        <f t="shared" ref="E71:E74" ca="1" si="0">D71</f>
        <v>1213</v>
      </c>
      <c r="F71" s="44">
        <v>56</v>
      </c>
      <c r="G71" s="135">
        <f t="shared" ref="G71:G74" ca="1" si="1">E71-F71</f>
        <v>1157</v>
      </c>
      <c r="H71" s="135">
        <f t="shared" ref="H71:H74" ca="1" si="2">B71*G71</f>
        <v>0</v>
      </c>
      <c r="I71" s="135">
        <f t="shared" ref="I71:I74" ca="1" si="3">H71*12</f>
        <v>0</v>
      </c>
      <c r="J71" s="2"/>
      <c r="K71" s="2"/>
      <c r="L71" s="2"/>
      <c r="M71" s="2"/>
      <c r="N71" s="2"/>
      <c r="O71" s="2"/>
      <c r="P71" s="2"/>
      <c r="Q71" s="2"/>
      <c r="R71" s="2"/>
      <c r="S71" s="2"/>
      <c r="T71" s="2"/>
      <c r="U71" s="2"/>
      <c r="V71" s="2"/>
      <c r="W71" s="2"/>
      <c r="X71" s="2"/>
      <c r="Y71" s="2"/>
      <c r="Z71" s="2"/>
    </row>
    <row r="72" spans="1:26" ht="15.75" customHeight="1" x14ac:dyDescent="0.3">
      <c r="A72" s="116" t="s">
        <v>102</v>
      </c>
      <c r="B72" s="60">
        <v>6</v>
      </c>
      <c r="C72" s="148">
        <v>0.5</v>
      </c>
      <c r="D72" s="113">
        <f ca="1">OFFSET(SSP_CF!$B$22,MATCH($C72,SSP_CF!$B$22:$B$42,0)-1,MATCH($A72,SSP_CF!$B$22:$G$22,0)-1)</f>
        <v>1386</v>
      </c>
      <c r="E72" s="100">
        <f t="shared" ca="1" si="0"/>
        <v>1386</v>
      </c>
      <c r="F72" s="23">
        <f>15+5+32+13</f>
        <v>65</v>
      </c>
      <c r="G72" s="113">
        <f t="shared" ca="1" si="1"/>
        <v>1321</v>
      </c>
      <c r="H72" s="113">
        <f t="shared" ca="1" si="2"/>
        <v>7926</v>
      </c>
      <c r="I72" s="113">
        <f t="shared" ca="1" si="3"/>
        <v>95112</v>
      </c>
      <c r="J72" s="2"/>
      <c r="K72" s="2"/>
      <c r="L72" s="2"/>
      <c r="M72" s="2"/>
      <c r="N72" s="2"/>
      <c r="O72" s="2"/>
      <c r="P72" s="2"/>
      <c r="Q72" s="2"/>
      <c r="R72" s="2"/>
      <c r="S72" s="2"/>
      <c r="T72" s="2"/>
      <c r="U72" s="2"/>
      <c r="V72" s="2"/>
      <c r="W72" s="2"/>
      <c r="X72" s="2"/>
      <c r="Y72" s="2"/>
      <c r="Z72" s="2"/>
    </row>
    <row r="73" spans="1:26" ht="15.75" customHeight="1" x14ac:dyDescent="0.3">
      <c r="A73" s="116" t="s">
        <v>103</v>
      </c>
      <c r="B73" s="60">
        <v>6</v>
      </c>
      <c r="C73" s="148">
        <v>0.5</v>
      </c>
      <c r="D73" s="113">
        <f ca="1">OFFSET(SSP_CF!$B$22,MATCH($C73,SSP_CF!$B$22:$B$42,0)-1,MATCH($A73,SSP_CF!$B$22:$G$22,0)-1)</f>
        <v>1559</v>
      </c>
      <c r="E73" s="100">
        <f t="shared" ca="1" si="0"/>
        <v>1559</v>
      </c>
      <c r="F73" s="23">
        <f>18+6+45+19</f>
        <v>88</v>
      </c>
      <c r="G73" s="113">
        <f t="shared" ca="1" si="1"/>
        <v>1471</v>
      </c>
      <c r="H73" s="113">
        <f t="shared" ca="1" si="2"/>
        <v>8826</v>
      </c>
      <c r="I73" s="113">
        <f t="shared" ca="1" si="3"/>
        <v>105912</v>
      </c>
      <c r="J73" s="2"/>
      <c r="K73" s="2"/>
      <c r="L73" s="2"/>
      <c r="M73" s="2"/>
      <c r="N73" s="2"/>
      <c r="O73" s="2"/>
      <c r="P73" s="2"/>
      <c r="Q73" s="2"/>
      <c r="R73" s="2"/>
      <c r="S73" s="2"/>
      <c r="T73" s="2"/>
      <c r="U73" s="2"/>
      <c r="V73" s="2"/>
      <c r="W73" s="2"/>
      <c r="X73" s="2"/>
      <c r="Y73" s="2"/>
      <c r="Z73" s="2"/>
    </row>
    <row r="74" spans="1:26" ht="15.75" customHeight="1" x14ac:dyDescent="0.3">
      <c r="A74" s="116" t="s">
        <v>104</v>
      </c>
      <c r="B74" s="60">
        <v>0</v>
      </c>
      <c r="C74" s="148">
        <v>0.5</v>
      </c>
      <c r="D74" s="113">
        <f ca="1">OFFSET(SSP_CF!$B$22,MATCH($C74,SSP_CF!$B$22:$B$42,0)-1,MATCH($A74,SSP_CF!$B$22:$G$22,0)-1)</f>
        <v>1733</v>
      </c>
      <c r="E74" s="100">
        <f t="shared" ca="1" si="0"/>
        <v>1733</v>
      </c>
      <c r="F74" s="23">
        <f>21+8+61+22</f>
        <v>112</v>
      </c>
      <c r="G74" s="113">
        <f t="shared" ca="1" si="1"/>
        <v>1621</v>
      </c>
      <c r="H74" s="113">
        <f t="shared" ca="1" si="2"/>
        <v>0</v>
      </c>
      <c r="I74" s="113">
        <f t="shared" ca="1" si="3"/>
        <v>0</v>
      </c>
      <c r="J74" s="2"/>
      <c r="K74" s="2"/>
      <c r="L74" s="2"/>
      <c r="M74" s="2"/>
      <c r="N74" s="2"/>
      <c r="O74" s="2"/>
      <c r="P74" s="2"/>
      <c r="Q74" s="2"/>
      <c r="R74" s="2"/>
      <c r="S74" s="2"/>
      <c r="T74" s="2"/>
      <c r="U74" s="2"/>
      <c r="V74" s="2"/>
      <c r="W74" s="2"/>
      <c r="X74" s="2"/>
      <c r="Y74" s="2"/>
      <c r="Z74" s="2"/>
    </row>
    <row r="75" spans="1:26" ht="15.75" customHeight="1" x14ac:dyDescent="0.3">
      <c r="A75" s="61" t="s">
        <v>105</v>
      </c>
      <c r="B75" s="61"/>
      <c r="C75" s="126">
        <v>0.5</v>
      </c>
      <c r="D75" s="62"/>
      <c r="E75" s="136">
        <v>0</v>
      </c>
      <c r="F75" s="45"/>
      <c r="G75" s="137"/>
      <c r="H75" s="137"/>
      <c r="I75" s="137"/>
      <c r="J75" s="2"/>
      <c r="K75" s="2"/>
      <c r="L75" s="2"/>
      <c r="M75" s="2"/>
      <c r="N75" s="2"/>
      <c r="O75" s="2"/>
      <c r="P75" s="2"/>
      <c r="Q75" s="2"/>
      <c r="R75" s="2"/>
      <c r="S75" s="2"/>
      <c r="T75" s="2"/>
      <c r="U75" s="2"/>
      <c r="V75" s="2"/>
      <c r="W75" s="2"/>
      <c r="X75" s="2"/>
      <c r="Y75" s="2"/>
      <c r="Z75" s="2"/>
    </row>
    <row r="76" spans="1:26" ht="15.75" customHeight="1" x14ac:dyDescent="0.3">
      <c r="A76" s="15" t="s">
        <v>106</v>
      </c>
      <c r="B76" s="15">
        <f>SUM(B71:B75)</f>
        <v>12</v>
      </c>
      <c r="C76" s="15"/>
      <c r="D76" s="38"/>
      <c r="E76" s="120"/>
      <c r="F76" s="39"/>
      <c r="G76" s="15"/>
      <c r="H76" s="45">
        <f t="shared" ref="H76:I76" ca="1" si="4">SUM(H71:H75)</f>
        <v>16752</v>
      </c>
      <c r="I76" s="137">
        <f t="shared" ca="1" si="4"/>
        <v>201024</v>
      </c>
      <c r="J76" s="2"/>
      <c r="K76" s="2"/>
      <c r="L76" s="2"/>
      <c r="M76" s="2"/>
      <c r="N76" s="2"/>
      <c r="O76" s="2"/>
      <c r="P76" s="2"/>
      <c r="Q76" s="2"/>
      <c r="R76" s="2"/>
      <c r="S76" s="2"/>
      <c r="T76" s="2"/>
      <c r="U76" s="2"/>
      <c r="V76" s="2"/>
      <c r="W76" s="2"/>
      <c r="X76" s="2"/>
      <c r="Y76" s="2"/>
      <c r="Z76" s="2"/>
    </row>
    <row r="77" spans="1:26" ht="15.75" customHeight="1" x14ac:dyDescent="0.3">
      <c r="A77" s="43"/>
      <c r="B77" s="43"/>
      <c r="C77" s="51"/>
      <c r="D77" s="51"/>
      <c r="E77" s="43"/>
      <c r="F77" s="43"/>
      <c r="G77" s="43"/>
      <c r="H77" s="43"/>
      <c r="I77" s="43"/>
      <c r="J77" s="2"/>
      <c r="K77" s="2"/>
      <c r="L77" s="2"/>
      <c r="M77" s="2"/>
      <c r="N77" s="2"/>
      <c r="O77" s="2"/>
      <c r="P77" s="2"/>
      <c r="Q77" s="2"/>
      <c r="R77" s="2"/>
      <c r="S77" s="2"/>
      <c r="T77" s="2"/>
      <c r="U77" s="2"/>
      <c r="V77" s="2"/>
      <c r="W77" s="2"/>
      <c r="X77" s="2"/>
      <c r="Y77" s="2"/>
      <c r="Z77" s="2"/>
    </row>
    <row r="78" spans="1:26" ht="43.2" x14ac:dyDescent="0.3">
      <c r="A78" s="54" t="s">
        <v>107</v>
      </c>
      <c r="B78" s="54" t="s">
        <v>108</v>
      </c>
      <c r="C78" s="63" t="s">
        <v>109</v>
      </c>
      <c r="D78" s="64" t="s">
        <v>110</v>
      </c>
      <c r="E78" s="65" t="s">
        <v>111</v>
      </c>
      <c r="F78" s="65" t="s">
        <v>112</v>
      </c>
      <c r="G78" s="65" t="s">
        <v>113</v>
      </c>
      <c r="H78" s="43"/>
      <c r="I78" s="43"/>
      <c r="J78" s="2"/>
      <c r="K78" s="2"/>
      <c r="L78" s="2"/>
      <c r="M78" s="2"/>
      <c r="N78" s="2"/>
      <c r="O78" s="2"/>
      <c r="P78" s="2"/>
      <c r="Q78" s="2"/>
      <c r="R78" s="2"/>
      <c r="S78" s="2"/>
      <c r="T78" s="2"/>
      <c r="U78" s="2"/>
      <c r="V78" s="2"/>
      <c r="W78" s="2"/>
      <c r="X78" s="2"/>
      <c r="Y78" s="2"/>
      <c r="Z78" s="2"/>
    </row>
    <row r="79" spans="1:26" ht="15.75" customHeight="1" x14ac:dyDescent="0.3">
      <c r="A79" s="66" t="s">
        <v>114</v>
      </c>
      <c r="B79" s="66">
        <v>0</v>
      </c>
      <c r="C79" s="67">
        <v>0</v>
      </c>
      <c r="D79" s="113">
        <v>0</v>
      </c>
      <c r="E79" s="51">
        <f t="shared" ref="E79:E87" si="5">C79-D79</f>
        <v>0</v>
      </c>
      <c r="F79" s="113">
        <f t="shared" ref="F79:F87" si="6">E79*12</f>
        <v>0</v>
      </c>
      <c r="G79" s="68">
        <f t="shared" ref="G79:G88" si="7">IFERROR(E79/B79,0)</f>
        <v>0</v>
      </c>
      <c r="H79" s="43"/>
      <c r="I79" s="43"/>
      <c r="J79" s="2"/>
      <c r="K79" s="2"/>
      <c r="L79" s="2"/>
      <c r="M79" s="2"/>
      <c r="N79" s="2"/>
      <c r="O79" s="2"/>
      <c r="P79" s="2"/>
      <c r="Q79" s="2"/>
      <c r="R79" s="2"/>
      <c r="S79" s="2"/>
      <c r="T79" s="2"/>
      <c r="U79" s="2"/>
      <c r="V79" s="2"/>
      <c r="W79" s="2"/>
      <c r="X79" s="2"/>
      <c r="Y79" s="2"/>
      <c r="Z79" s="2"/>
    </row>
    <row r="80" spans="1:26" ht="15.75" customHeight="1" x14ac:dyDescent="0.3">
      <c r="A80" s="66" t="s">
        <v>115</v>
      </c>
      <c r="B80" s="66">
        <v>0</v>
      </c>
      <c r="C80" s="67">
        <v>0</v>
      </c>
      <c r="D80" s="113">
        <v>0</v>
      </c>
      <c r="E80" s="51">
        <f t="shared" si="5"/>
        <v>0</v>
      </c>
      <c r="F80" s="113">
        <f t="shared" si="6"/>
        <v>0</v>
      </c>
      <c r="G80" s="68">
        <f t="shared" si="7"/>
        <v>0</v>
      </c>
      <c r="H80" s="43"/>
      <c r="I80" s="43"/>
      <c r="J80" s="2"/>
      <c r="K80" s="2"/>
      <c r="L80" s="2"/>
      <c r="M80" s="2"/>
      <c r="N80" s="2"/>
      <c r="O80" s="2"/>
      <c r="P80" s="2"/>
      <c r="Q80" s="2"/>
      <c r="R80" s="2"/>
      <c r="S80" s="2"/>
      <c r="T80" s="2"/>
      <c r="U80" s="2"/>
      <c r="V80" s="2"/>
      <c r="W80" s="2"/>
      <c r="X80" s="2"/>
      <c r="Y80" s="2"/>
      <c r="Z80" s="2"/>
    </row>
    <row r="81" spans="1:26" ht="15.75" customHeight="1" x14ac:dyDescent="0.3">
      <c r="A81" s="66" t="s">
        <v>115</v>
      </c>
      <c r="B81" s="66"/>
      <c r="C81" s="67">
        <v>0</v>
      </c>
      <c r="D81" s="113">
        <v>0</v>
      </c>
      <c r="E81" s="51">
        <f t="shared" si="5"/>
        <v>0</v>
      </c>
      <c r="F81" s="113">
        <f t="shared" si="6"/>
        <v>0</v>
      </c>
      <c r="G81" s="68">
        <f t="shared" si="7"/>
        <v>0</v>
      </c>
      <c r="H81" s="43"/>
      <c r="I81" s="43"/>
      <c r="J81" s="2"/>
      <c r="K81" s="2"/>
      <c r="L81" s="2"/>
      <c r="M81" s="2"/>
      <c r="N81" s="2"/>
      <c r="O81" s="2"/>
      <c r="P81" s="2"/>
      <c r="Q81" s="2"/>
      <c r="R81" s="2"/>
      <c r="S81" s="2"/>
      <c r="T81" s="2"/>
      <c r="U81" s="2"/>
      <c r="V81" s="2"/>
      <c r="W81" s="2"/>
      <c r="X81" s="2"/>
      <c r="Y81" s="2"/>
      <c r="Z81" s="2"/>
    </row>
    <row r="82" spans="1:26" ht="15.75" customHeight="1" x14ac:dyDescent="0.3">
      <c r="A82" s="66" t="s">
        <v>115</v>
      </c>
      <c r="B82" s="66"/>
      <c r="C82" s="67">
        <v>0</v>
      </c>
      <c r="D82" s="113">
        <v>0</v>
      </c>
      <c r="E82" s="51">
        <f t="shared" si="5"/>
        <v>0</v>
      </c>
      <c r="F82" s="113">
        <f t="shared" si="6"/>
        <v>0</v>
      </c>
      <c r="G82" s="68">
        <f t="shared" si="7"/>
        <v>0</v>
      </c>
      <c r="H82" s="43"/>
      <c r="I82" s="43"/>
      <c r="J82" s="2"/>
      <c r="K82" s="2"/>
      <c r="L82" s="2"/>
      <c r="M82" s="2"/>
      <c r="N82" s="2"/>
      <c r="O82" s="2"/>
      <c r="P82" s="2"/>
      <c r="Q82" s="2"/>
      <c r="R82" s="2"/>
      <c r="S82" s="2"/>
      <c r="T82" s="2"/>
      <c r="U82" s="2"/>
      <c r="V82" s="2"/>
      <c r="W82" s="2"/>
      <c r="X82" s="2"/>
      <c r="Y82" s="2"/>
      <c r="Z82" s="2"/>
    </row>
    <row r="83" spans="1:26" ht="15.75" customHeight="1" x14ac:dyDescent="0.3">
      <c r="A83" s="66" t="s">
        <v>115</v>
      </c>
      <c r="B83" s="66"/>
      <c r="C83" s="67">
        <v>0</v>
      </c>
      <c r="D83" s="113">
        <v>0</v>
      </c>
      <c r="E83" s="51">
        <f t="shared" si="5"/>
        <v>0</v>
      </c>
      <c r="F83" s="113">
        <f t="shared" si="6"/>
        <v>0</v>
      </c>
      <c r="G83" s="68">
        <f t="shared" si="7"/>
        <v>0</v>
      </c>
      <c r="H83" s="43"/>
      <c r="I83" s="43"/>
      <c r="J83" s="2"/>
      <c r="K83" s="2"/>
      <c r="L83" s="2"/>
      <c r="M83" s="2"/>
      <c r="N83" s="2"/>
      <c r="O83" s="2"/>
      <c r="P83" s="2"/>
      <c r="Q83" s="2"/>
      <c r="R83" s="2"/>
      <c r="S83" s="2"/>
      <c r="T83" s="2"/>
      <c r="U83" s="2"/>
      <c r="V83" s="2"/>
      <c r="W83" s="2"/>
      <c r="X83" s="2"/>
      <c r="Y83" s="2"/>
      <c r="Z83" s="2"/>
    </row>
    <row r="84" spans="1:26" ht="15.75" customHeight="1" x14ac:dyDescent="0.3">
      <c r="A84" s="66" t="s">
        <v>115</v>
      </c>
      <c r="B84" s="66"/>
      <c r="C84" s="67">
        <v>0</v>
      </c>
      <c r="D84" s="113">
        <v>0</v>
      </c>
      <c r="E84" s="51">
        <f t="shared" si="5"/>
        <v>0</v>
      </c>
      <c r="F84" s="113">
        <f t="shared" si="6"/>
        <v>0</v>
      </c>
      <c r="G84" s="68">
        <f t="shared" si="7"/>
        <v>0</v>
      </c>
      <c r="H84" s="43"/>
      <c r="I84" s="43"/>
      <c r="J84" s="2"/>
      <c r="K84" s="2"/>
      <c r="L84" s="2"/>
      <c r="M84" s="2"/>
      <c r="N84" s="2"/>
      <c r="O84" s="2"/>
      <c r="P84" s="2"/>
      <c r="Q84" s="2"/>
      <c r="R84" s="2"/>
      <c r="S84" s="2"/>
      <c r="T84" s="2"/>
      <c r="U84" s="2"/>
      <c r="V84" s="2"/>
      <c r="W84" s="2"/>
      <c r="X84" s="2"/>
      <c r="Y84" s="2"/>
      <c r="Z84" s="2"/>
    </row>
    <row r="85" spans="1:26" ht="15.75" customHeight="1" x14ac:dyDescent="0.3">
      <c r="A85" s="66" t="s">
        <v>115</v>
      </c>
      <c r="B85" s="66"/>
      <c r="C85" s="67">
        <v>0</v>
      </c>
      <c r="D85" s="113">
        <v>0</v>
      </c>
      <c r="E85" s="51">
        <f t="shared" si="5"/>
        <v>0</v>
      </c>
      <c r="F85" s="113">
        <f t="shared" si="6"/>
        <v>0</v>
      </c>
      <c r="G85" s="68">
        <f t="shared" si="7"/>
        <v>0</v>
      </c>
      <c r="H85" s="43"/>
      <c r="I85" s="43"/>
      <c r="J85" s="2"/>
      <c r="K85" s="2"/>
      <c r="L85" s="2"/>
      <c r="M85" s="2"/>
      <c r="N85" s="2"/>
      <c r="O85" s="2"/>
      <c r="P85" s="2"/>
      <c r="Q85" s="2"/>
      <c r="R85" s="2"/>
      <c r="S85" s="2"/>
      <c r="T85" s="2"/>
      <c r="U85" s="2"/>
      <c r="V85" s="2"/>
      <c r="W85" s="2"/>
      <c r="X85" s="2"/>
      <c r="Y85" s="2"/>
      <c r="Z85" s="2"/>
    </row>
    <row r="86" spans="1:26" ht="15.75" customHeight="1" x14ac:dyDescent="0.3">
      <c r="A86" s="66" t="s">
        <v>115</v>
      </c>
      <c r="B86" s="66"/>
      <c r="C86" s="67">
        <v>0</v>
      </c>
      <c r="D86" s="113">
        <v>0</v>
      </c>
      <c r="E86" s="51">
        <f t="shared" si="5"/>
        <v>0</v>
      </c>
      <c r="F86" s="113">
        <f t="shared" si="6"/>
        <v>0</v>
      </c>
      <c r="G86" s="68">
        <f t="shared" si="7"/>
        <v>0</v>
      </c>
      <c r="H86" s="43"/>
      <c r="I86" s="43"/>
      <c r="J86" s="2"/>
      <c r="K86" s="2"/>
      <c r="L86" s="2"/>
      <c r="M86" s="2"/>
      <c r="N86" s="2"/>
      <c r="O86" s="2"/>
      <c r="P86" s="2"/>
      <c r="Q86" s="2"/>
      <c r="R86" s="2"/>
      <c r="S86" s="2"/>
      <c r="T86" s="2"/>
      <c r="U86" s="2"/>
      <c r="V86" s="2"/>
      <c r="W86" s="2"/>
      <c r="X86" s="2"/>
      <c r="Y86" s="2"/>
      <c r="Z86" s="2"/>
    </row>
    <row r="87" spans="1:26" ht="15.75" customHeight="1" x14ac:dyDescent="0.3">
      <c r="A87" s="61" t="s">
        <v>115</v>
      </c>
      <c r="B87" s="61"/>
      <c r="C87" s="69">
        <v>0</v>
      </c>
      <c r="D87" s="113">
        <v>0</v>
      </c>
      <c r="E87" s="51">
        <f t="shared" si="5"/>
        <v>0</v>
      </c>
      <c r="F87" s="137">
        <f t="shared" si="6"/>
        <v>0</v>
      </c>
      <c r="G87" s="68">
        <f t="shared" si="7"/>
        <v>0</v>
      </c>
      <c r="H87" s="43"/>
      <c r="I87" s="43"/>
      <c r="J87" s="2"/>
      <c r="K87" s="2"/>
      <c r="L87" s="2"/>
      <c r="M87" s="2"/>
      <c r="N87" s="2"/>
      <c r="O87" s="2"/>
      <c r="P87" s="2"/>
      <c r="Q87" s="2"/>
      <c r="R87" s="2"/>
      <c r="S87" s="2"/>
      <c r="T87" s="2"/>
      <c r="U87" s="2"/>
      <c r="V87" s="2"/>
      <c r="W87" s="2"/>
      <c r="X87" s="2"/>
      <c r="Y87" s="2"/>
      <c r="Z87" s="2"/>
    </row>
    <row r="88" spans="1:26" ht="15.75" customHeight="1" x14ac:dyDescent="0.3">
      <c r="A88" s="70" t="s">
        <v>106</v>
      </c>
      <c r="B88" s="15">
        <f t="shared" ref="B88:F88" si="8">SUM(B79:B87)</f>
        <v>0</v>
      </c>
      <c r="C88" s="71">
        <f t="shared" si="8"/>
        <v>0</v>
      </c>
      <c r="D88" s="38">
        <f t="shared" si="8"/>
        <v>0</v>
      </c>
      <c r="E88" s="38">
        <f t="shared" si="8"/>
        <v>0</v>
      </c>
      <c r="F88" s="38">
        <f t="shared" si="8"/>
        <v>0</v>
      </c>
      <c r="G88" s="72">
        <f t="shared" si="7"/>
        <v>0</v>
      </c>
      <c r="H88" s="43"/>
      <c r="I88" s="43"/>
      <c r="J88" s="2"/>
      <c r="K88" s="2"/>
      <c r="L88" s="2"/>
      <c r="M88" s="2"/>
      <c r="N88" s="2"/>
      <c r="O88" s="2"/>
      <c r="P88" s="2"/>
      <c r="Q88" s="2"/>
      <c r="R88" s="2"/>
      <c r="S88" s="2"/>
      <c r="T88" s="2"/>
      <c r="U88" s="2"/>
      <c r="V88" s="2"/>
      <c r="W88" s="2"/>
      <c r="X88" s="2"/>
      <c r="Y88" s="2"/>
      <c r="Z88" s="2"/>
    </row>
    <row r="89" spans="1:26" ht="15.75" customHeight="1" x14ac:dyDescent="0.3">
      <c r="A89" s="43"/>
      <c r="B89" s="43"/>
      <c r="C89" s="43"/>
      <c r="D89" s="43"/>
      <c r="E89" s="43"/>
      <c r="F89" s="43"/>
      <c r="G89" s="43"/>
      <c r="H89" s="43"/>
      <c r="I89" s="43"/>
      <c r="J89" s="2"/>
      <c r="K89" s="2"/>
      <c r="L89" s="2"/>
      <c r="M89" s="2"/>
      <c r="N89" s="2"/>
      <c r="O89" s="2"/>
      <c r="P89" s="2"/>
      <c r="Q89" s="2"/>
      <c r="R89" s="2"/>
      <c r="S89" s="2"/>
      <c r="T89" s="2"/>
      <c r="U89" s="2"/>
      <c r="V89" s="2"/>
      <c r="W89" s="2"/>
      <c r="X89" s="2"/>
      <c r="Y89" s="2"/>
      <c r="Z89" s="2"/>
    </row>
    <row r="90" spans="1:26" ht="15.75" customHeight="1" x14ac:dyDescent="0.3">
      <c r="A90" s="43"/>
      <c r="B90" s="43"/>
      <c r="C90" s="43"/>
      <c r="D90" s="43"/>
      <c r="E90" s="43"/>
      <c r="F90" s="43"/>
      <c r="G90" s="43"/>
      <c r="H90" s="43"/>
      <c r="I90" s="43"/>
      <c r="J90" s="2"/>
      <c r="K90" s="2"/>
      <c r="L90" s="2"/>
      <c r="M90" s="2"/>
      <c r="N90" s="2"/>
      <c r="O90" s="2"/>
      <c r="P90" s="2"/>
      <c r="Q90" s="2"/>
      <c r="R90" s="2"/>
      <c r="S90" s="2"/>
      <c r="T90" s="2"/>
      <c r="U90" s="2"/>
      <c r="V90" s="2"/>
      <c r="W90" s="2"/>
      <c r="X90" s="2"/>
      <c r="Y90" s="2"/>
      <c r="Z90" s="2"/>
    </row>
    <row r="91" spans="1:26" ht="15.75" customHeight="1" x14ac:dyDescent="0.3">
      <c r="A91" s="43"/>
      <c r="B91" s="43"/>
      <c r="C91" s="43"/>
      <c r="D91" s="43"/>
      <c r="E91" s="43"/>
      <c r="F91" s="43"/>
      <c r="G91" s="43"/>
      <c r="H91" s="43"/>
      <c r="I91" s="43"/>
      <c r="J91" s="2"/>
      <c r="K91" s="2"/>
      <c r="L91" s="2"/>
      <c r="M91" s="2"/>
      <c r="N91" s="2"/>
      <c r="O91" s="2"/>
      <c r="P91" s="2"/>
      <c r="Q91" s="2"/>
      <c r="R91" s="2"/>
      <c r="S91" s="2"/>
      <c r="T91" s="2"/>
      <c r="U91" s="2"/>
      <c r="V91" s="2"/>
      <c r="W91" s="2"/>
      <c r="X91" s="2"/>
      <c r="Y91" s="2"/>
      <c r="Z91" s="2"/>
    </row>
    <row r="92" spans="1:26" ht="15.75" customHeight="1" x14ac:dyDescent="0.3">
      <c r="A92" s="43"/>
      <c r="B92" s="43"/>
      <c r="C92" s="43"/>
      <c r="D92" s="43"/>
      <c r="E92" s="43"/>
      <c r="F92" s="43"/>
      <c r="G92" s="43"/>
      <c r="H92" s="43"/>
      <c r="I92" s="43"/>
      <c r="J92" s="2"/>
      <c r="K92" s="2"/>
      <c r="L92" s="2"/>
      <c r="M92" s="2"/>
      <c r="N92" s="2"/>
      <c r="O92" s="2"/>
      <c r="P92" s="2"/>
      <c r="Q92" s="2"/>
      <c r="R92" s="2"/>
      <c r="S92" s="2"/>
      <c r="T92" s="2"/>
      <c r="U92" s="2"/>
      <c r="V92" s="2"/>
      <c r="W92" s="2"/>
      <c r="X92" s="2"/>
      <c r="Y92" s="2"/>
      <c r="Z92" s="2"/>
    </row>
    <row r="93" spans="1:26" ht="15.75" customHeight="1" x14ac:dyDescent="0.3">
      <c r="A93" s="43"/>
      <c r="B93" s="43"/>
      <c r="C93" s="43"/>
      <c r="D93" s="43"/>
      <c r="E93" s="43"/>
      <c r="F93" s="43"/>
      <c r="G93" s="43"/>
      <c r="H93" s="43"/>
      <c r="I93" s="43"/>
      <c r="J93" s="2"/>
      <c r="K93" s="2"/>
      <c r="L93" s="2"/>
      <c r="M93" s="2"/>
      <c r="N93" s="2"/>
      <c r="O93" s="2"/>
      <c r="P93" s="2"/>
      <c r="Q93" s="2"/>
      <c r="R93" s="2"/>
      <c r="S93" s="2"/>
      <c r="T93" s="2"/>
      <c r="U93" s="2"/>
      <c r="V93" s="2"/>
      <c r="W93" s="2"/>
      <c r="X93" s="2"/>
      <c r="Y93" s="2"/>
      <c r="Z93" s="2"/>
    </row>
    <row r="94" spans="1:26" ht="15.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6"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2">
    <mergeCell ref="A19:B19"/>
    <mergeCell ref="E19:G19"/>
  </mergeCells>
  <dataValidations count="1">
    <dataValidation type="list" allowBlank="1" sqref="B12" xr:uid="{00000000-0002-0000-0200-000001000000}">
      <formula1>"COPA Listing,Post-COPA Listing,Off-Market Sale,In Contract"</formula1>
    </dataValidation>
  </dataValidations>
  <pageMargins left="0.7" right="0.7" top="0.75" bottom="0.75" header="0" footer="0"/>
  <pageSetup scale="4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SSP_CF!$B$25:$B$42</xm:f>
          </x14:formula1>
          <xm:sqref>C71:C75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A g E A A B Q S w M E F A A C A A g A R E 3 b 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R E 3 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R N 2 1 S J W J s 2 A g E A A B 0 F A A A T A B w A R m 9 y b X V s Y X M v U 2 V j d G l v b j E u b S C i G A A o o B Q A A A A A A A A A A A A A A A A A A A A A A A A A A A D t k T 9 r w z A Q x X e D v 4 N Q F h u E w W 7 + m A Z P T g u d 4 0 5 1 B 1 e 5 J i K 2 V K R z i Q n 5 7 r 0 g A i n U e w r R I v S e 7 t 5 x P w c S l d F s 7 e 9 0 G Q Z h 4 H a N h Q 0 b D C t Y C x g G j M 7 a 9 F Y C K a X 7 T l Z G 9 h 1 o j J 5 V C 0 l p N N L D R b x 8 r F 8 d W F f L T k p j u 0 b u 6 8 t f V w 8 m w Q P y W L y t o F W d Q r A F Z 1 y w 0 r R 9 p 1 2 R C / a k p d k o v S 3 S b J a 9 x 8 K H T 3 i 5 a / S W h q q G L + A 0 R d V 8 U H J l G + 0 + K c h 3 O J s u 8 p O K 4 5 F 7 N a U E J I c h H P A k 2 E X P R v Q H 0 l 8 0 z q f J u d + V M R 0 p m I 0 V z M e M x Z i R / z Z O c R g o / e c O r k l N O L G K F j G / A / t P w P I 7 s J s G 9 g N Q S w E C L Q A U A A I A C A B E T d t U I D g f Z 6 Q A A A D 1 A A A A E g A A A A A A A A A A A A A A A A A A A A A A Q 2 9 u Z m l n L 1 B h Y 2 t h Z 2 U u e G 1 s U E s B A i 0 A F A A C A A g A R E 3 b V A / K 6 a u k A A A A 6 Q A A A B M A A A A A A A A A A A A A A A A A 8 A A A A F t D b 2 5 0 Z W 5 0 X 1 R 5 c G V z X S 5 4 b W x Q S w E C L Q A U A A I A C A B E T d t U i V i b N g I B A A A d B Q A A E w A A A A A A A A A A A A A A A A D h A Q A A R m 9 y b X V s Y X M v U 2 V j d G l v b j E u b V B L B Q Y A A A A A A w A D A M I A A A A w 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w H Q A A A A A A A M 4 d 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e W 8 8 L 0 l 0 Z W 1 Q Y X R o P j w v S X R l b U x v Y 2 F 0 a W 9 u P j x T d G F i b G V F b n R y a W V z P j x F b n R y e S B U e X B l P S J G a W x s U 3 R h d H V z I i B W Y W x 1 Z T 0 i c 0 N v b X B s Z X R l I i A v P j x F b n R y e S B U e X B l P S J C d W Z m Z X J O Z X h 0 U m V m c m V z a C I g V m F s d W U 9 I m w x I i A v P j x F b n R y e S B U e X B l P S J G a W x s Q 2 9 s d W 1 u T m F t Z X M i I F Z h b H V l P S J z W y Z x d W 9 0 O 0 N v b H V t b j E m c X V v d D s s J n F 1 b 3 Q 7 Q 2 9 s d W 1 u M i Z x d W 9 0 O y w m c X V v d D t D b 2 x 1 b W 4 z J n F 1 b 3 Q 7 L C Z x d W 9 0 O 0 N v b H V t b j Q m c X V v d D s s J n F 1 b 3 Q 7 Q 2 9 s d W 1 u N S Z x d W 9 0 O y w m c X V v d D t D b 2 x 1 b W 4 2 J n F 1 b 3 Q 7 L C Z x d W 9 0 O 0 N v b H V t b j c m c X V v d D s s J n F 1 b 3 Q 7 Q 2 9 s d W 1 u O C Z x d W 9 0 O 1 0 i I C 8 + P E V u d H J 5 I F R 5 c G U 9 I k Z p b G x F b m F i b G V k I i B W Y W x 1 Z T 0 i b D E i I C 8 + P E V u d H J 5 I F R 5 c G U 9 I k Z p b G x D b 2 x 1 b W 5 U e X B l c y I g V m F s d W U 9 I n N C Z 1 l E Q m d N R E F 3 T T 0 i I C 8 + P E V u d H J 5 I F R 5 c G U 9 I k Z p b G x M Y X N 0 V X B k Y X R l Z C I g V m F s d W U 9 I m Q y M D I y L T A 1 L T E w V D A z O j M x O j M 3 L j c 1 N j Q 1 O T J a I i A v P j x F b n R y e S B U e X B l P S J G a W x s R X J y b 3 J D b 3 V u d C I g V m F s d W U 9 I m w w I i A v P j x F b n R y e S B U e X B l P S J G a W x s R X J y b 3 J D b 2 R l I i B W Y W x 1 Z T 0 i c 1 V u a 2 5 v d 2 4 i I C 8 + P E V u d H J 5 I F R 5 c G U 9 I k Z p b G x l Z E N v b X B s Z X R l U m V z d W x 0 V G 9 X b 3 J r c 2 h l Z X Q i I F Z h b H V l P S J s M S I g L z 4 8 R W 5 0 c n k g V H l w Z T 0 i R m l s b E N v d W 5 0 I i B W Y W x 1 Z T 0 i b D E y I i A v P j x F b n R y e S B U e X B l P S J G a W x s V G 9 E Y X R h T W 9 k Z W x F b m F i b G V k I i B W Y W x 1 Z T 0 i b D A i I C 8 + P E V u d H J 5 I F R 5 c G U 9 I k l z U H J p d m F 0 Z S I g V m F s d W U 9 I m w w I i A v P j x F b n R y e S B U e X B l P S J B Z G R l Z F R v R G F 0 Y U 1 v Z G V s I i B W Y W x 1 Z T 0 i b D A i I C 8 + P E V u d H J 5 I F R 5 c G U 9 I l J l c 3 V s d F R 5 c G U i I F Z h b H V l P S J z R X h j Z X B 0 a W 9 u I i A v P j x F b n R y e S B U e X B l P S J G a W x s T 2 J q Z W N 0 V H l w Z S I g V m F s d W U 9 I n N U Y W J s Z S I g L z 4 8 R W 5 0 c n k g V H l w Z T 0 i T m F t Z V V w Z G F 0 Z W R B Z n R l c k Z p b G w i I F Z h b H V l P S J s M C I g L z 4 8 R W 5 0 c n k g V H l w Z T 0 i R m l s b F R h c m d l d C I g V m F s d W U 9 I n N 5 b y I g L z 4 8 R W 5 0 c n k g V H l w Z T 0 i U m V s Y X R p b 2 5 z a G l w S W 5 m b 0 N v b n R h a W 5 l c i I g V m F s d W U 9 I n N 7 J n F 1 b 3 Q 7 Y 2 9 s d W 1 u Q 2 9 1 b n Q m c X V v d D s 6 O C w m c X V v d D t r Z X l D b 2 x 1 b W 5 O Y W 1 l c y Z x d W 9 0 O z p b X S w m c X V v d D t x d W V y e V J l b G F 0 a W 9 u c 2 h p c H M m c X V v d D s 6 W 1 0 s J n F 1 b 3 Q 7 Y 2 9 s d W 1 u S W R l b n R p d G l l c y Z x d W 9 0 O z p b J n F 1 b 3 Q 7 U 2 V j d G l v b j E v e W 8 v Q 2 h h b m d l Z C B U e X B l L n t D b 2 x 1 b W 4 x L D B 9 J n F 1 b 3 Q 7 L C Z x d W 9 0 O 1 N l Y 3 R p b 2 4 x L 3 l v L 0 N o Y W 5 n Z W Q g V H l w Z S 5 7 Q 2 9 s d W 1 u M i w x f S Z x d W 9 0 O y w m c X V v d D t T Z W N 0 a W 9 u M S 9 5 b y 9 D a G F u Z 2 V k I F R 5 c G U u e 0 N v b H V t b j M s M n 0 m c X V v d D s s J n F 1 b 3 Q 7 U 2 V j d G l v b j E v e W 8 v Q 2 h h b m d l Z C B U e X B l L n t D b 2 x 1 b W 4 0 L D N 9 J n F 1 b 3 Q 7 L C Z x d W 9 0 O 1 N l Y 3 R p b 2 4 x L 3 l v L 0 N o Y W 5 n Z W Q g V H l w Z S 5 7 Q 2 9 s d W 1 u N S w 0 f S Z x d W 9 0 O y w m c X V v d D t T Z W N 0 a W 9 u M S 9 5 b y 9 D a G F u Z 2 V k I F R 5 c G U u e 0 N v b H V t b j Y s N X 0 m c X V v d D s s J n F 1 b 3 Q 7 U 2 V j d G l v b j E v e W 8 v Q 2 h h b m d l Z C B U e X B l L n t D b 2 x 1 b W 4 3 L D Z 9 J n F 1 b 3 Q 7 L C Z x d W 9 0 O 1 N l Y 3 R p b 2 4 x L 3 l v L 0 N o Y W 5 n Z W Q g V H l w Z S 5 7 Q 2 9 s d W 1 u O C w 3 f S Z x d W 9 0 O 1 0 s J n F 1 b 3 Q 7 Q 2 9 s d W 1 u Q 2 9 1 b n Q m c X V v d D s 6 O C w m c X V v d D t L Z X l D b 2 x 1 b W 5 O Y W 1 l c y Z x d W 9 0 O z p b X S w m c X V v d D t D b 2 x 1 b W 5 J Z G V u d G l 0 a W V z J n F 1 b 3 Q 7 O l s m c X V v d D t T Z W N 0 a W 9 u M S 9 5 b y 9 D a G F u Z 2 V k I F R 5 c G U u e 0 N v b H V t b j E s M H 0 m c X V v d D s s J n F 1 b 3 Q 7 U 2 V j d G l v b j E v e W 8 v Q 2 h h b m d l Z C B U e X B l L n t D b 2 x 1 b W 4 y L D F 9 J n F 1 b 3 Q 7 L C Z x d W 9 0 O 1 N l Y 3 R p b 2 4 x L 3 l v L 0 N o Y W 5 n Z W Q g V H l w Z S 5 7 Q 2 9 s d W 1 u M y w y f S Z x d W 9 0 O y w m c X V v d D t T Z W N 0 a W 9 u M S 9 5 b y 9 D a G F u Z 2 V k I F R 5 c G U u e 0 N v b H V t b j Q s M 3 0 m c X V v d D s s J n F 1 b 3 Q 7 U 2 V j d G l v b j E v e W 8 v Q 2 h h b m d l Z C B U e X B l L n t D b 2 x 1 b W 4 1 L D R 9 J n F 1 b 3 Q 7 L C Z x d W 9 0 O 1 N l Y 3 R p b 2 4 x L 3 l v L 0 N o Y W 5 n Z W Q g V H l w Z S 5 7 Q 2 9 s d W 1 u N i w 1 f S Z x d W 9 0 O y w m c X V v d D t T Z W N 0 a W 9 u M S 9 5 b y 9 D a G F u Z 2 V k I F R 5 c G U u e 0 N v b H V t b j c s N n 0 m c X V v d D s s J n F 1 b 3 Q 7 U 2 V j d G l v b j E v e W 8 v Q 2 h h b m d l Z C B U e X B l L n t D b 2 x 1 b W 4 4 L D d 9 J n F 1 b 3 Q 7 X S w m c X V v d D t S Z W x h d G l v b n N o a X B J b m Z v J n F 1 b 3 Q 7 O l t d f S I g L z 4 8 L 1 N 0 Y W J s Z U V u d H J p Z X M + P C 9 J d G V t P j x J d G V t P j x J d G V t T G 9 j Y X R p b 2 4 + P E l 0 Z W 1 U e X B l P k Z v c m 1 1 b G E 8 L 0 l 0 Z W 1 U e X B l P j x J d G V t U G F 0 a D 5 T Z W N 0 a W 9 u M S 9 5 b y 9 T b 3 V y Y 2 U 8 L 0 l 0 Z W 1 Q Y X R o P j w v S X R l b U x v Y 2 F 0 a W 9 u P j x T d G F i b G V F b n R y a W V z I C 8 + P C 9 J d G V t P j x J d G V t P j x J d G V t T G 9 j Y X R p b 2 4 + P E l 0 Z W 1 U e X B l P k Z v c m 1 1 b G E 8 L 0 l 0 Z W 1 U e X B l P j x J d G V t U G F 0 a D 5 T Z W N 0 a W 9 u M S 9 5 b y 9 D a G F u Z 2 V k J T I w V H l w Z T w v S X R l b V B h d G g + P C 9 J d G V t T G 9 j Y X R p b 2 4 + P F N 0 Y W J s Z U V u d H J p Z X M g L z 4 8 L 0 l 0 Z W 0 + P E l 0 Z W 0 + P E l 0 Z W 1 M b 2 N h d G l v b j 4 8 S X R l b V R 5 c G U + R m 9 y b X V s Y T w v S X R l b V R 5 c G U + P E l 0 Z W 1 Q Y X R o P l N l Y 3 R p b 2 4 x L 3 l v J T I w K D c p P C 9 J d G V t U G F 0 a D 4 8 L 0 l 0 Z W 1 M b 2 N h d G l v b j 4 8 U 3 R h Y m x l R W 5 0 c m l l c z 4 8 R W 5 0 c n k g V H l w Z T 0 i R m l s b F N 0 Y X R 1 c y I g V m F s d W U 9 I n N D b 2 1 w b G V 0 Z S I g L z 4 8 R W 5 0 c n k g V H l w Z T 0 i Q n V m Z m V y T m V 4 d F J l Z n J l c 2 g i I F Z h b H V l P S J s M S I g L z 4 8 R W 5 0 c n k g V H l w Z T 0 i R m l s b E N v b H V t b k 5 h b W V z I i B W Y W x 1 Z T 0 i c 1 s m c X V v d D t D b 2 x 1 b W 4 x J n F 1 b 3 Q 7 L C Z x d W 9 0 O 0 N v b H V t b j I m c X V v d D s s J n F 1 b 3 Q 7 Q 2 9 s d W 1 u M y Z x d W 9 0 O y w m c X V v d D t D b 2 x 1 b W 4 0 J n F 1 b 3 Q 7 L C Z x d W 9 0 O 0 N v b H V t b j U m c X V v d D s s J n F 1 b 3 Q 7 Q 2 9 s d W 1 u N i Z x d W 9 0 O y w m c X V v d D t D b 2 x 1 b W 4 3 J n F 1 b 3 Q 7 L C Z x d W 9 0 O 0 N v b H V t b j g m c X V v d D t d I i A v P j x F b n R y e S B U e X B l P S J G a W x s R W 5 h Y m x l Z C I g V m F s d W U 9 I m w x I i A v P j x F b n R y e S B U e X B l P S J G a W x s Q 2 9 s d W 1 u V H l w Z X M i I F Z h b H V l P S J z Q m d Z R E J n T U R B d 0 0 9 I i A v P j x F b n R y e S B U e X B l P S J G a W x s T G F z d F V w Z G F 0 Z W Q i I F Z h b H V l P S J k M j A y M i 0 w N S 0 x M F Q w M z o z M T o z N y 4 3 N T Y 0 N T k y W i I g L z 4 8 R W 5 0 c n k g V H l w Z T 0 i R m l s b E V y c m 9 y Q 2 9 1 b n Q i I F Z h b H V l P S J s M C I g L z 4 8 R W 5 0 c n k g V H l w Z T 0 i R m l s b E V y c m 9 y Q 2 9 k Z S I g V m F s d W U 9 I n N V b m t u b 3 d u I i A v P j x F b n R y e S B U e X B l P S J G a W x s Z W R D b 2 1 w b G V 0 Z V J l c 3 V s d F R v V 2 9 y a 3 N o Z W V 0 I i B W Y W x 1 Z T 0 i b D E i I C 8 + P E V u d H J 5 I F R 5 c G U 9 I k Z p b G x D b 3 V u d C I g V m F s d W U 9 I m w x M i I g L z 4 8 R W 5 0 c n k g V H l w Z T 0 i R m l s b F R v R G F 0 Y U 1 v Z G V s R W 5 h Y m x l Z C I g V m F s d W U 9 I m w w I i A v P j x F b n R y e S B U e X B l P S J J c 1 B y a X Z h d G U i I F Z h b H V l P S J s M C I g L z 4 8 R W 5 0 c n k g V H l w Z T 0 i Q W R k Z W R U b 0 R h d G F N b 2 R l b C I g V m F s d W U 9 I m w w I i A v P j x F b n R y e S B U e X B l P S J S Z X N 1 b H R U e X B l I i B W Y W x 1 Z T 0 i c 0 V 4 Y 2 V w d G l v b i I g L z 4 8 R W 5 0 c n k g V H l w Z T 0 i R m l s b E 9 i a m V j d F R 5 c G U i I F Z h b H V l P S J z V G F i b G U i I C 8 + P E V u d H J 5 I F R 5 c G U 9 I k x v Y W R l Z F R v Q W 5 h b H l z a X N T Z X J 2 a W N l c y I g V m F s d W U 9 I m w w I i A v P j x F b n R y e S B U e X B l P S J G a W x s V G F y Z 2 V 0 I i B W Y W x 1 Z T 0 i c 3 l v X z Q 4 O S I g L z 4 8 R W 5 0 c n k g V H l w Z T 0 i U m V s Y X R p b 2 5 z a G l w S W 5 m b 0 N v b n R h a W 5 l c i I g V m F s d W U 9 I n N 7 J n F 1 b 3 Q 7 Y 2 9 s d W 1 u Q 2 9 1 b n Q m c X V v d D s 6 O C w m c X V v d D t r Z X l D b 2 x 1 b W 5 O Y W 1 l c y Z x d W 9 0 O z p b X S w m c X V v d D t x d W V y e V J l b G F 0 a W 9 u c 2 h p c H M m c X V v d D s 6 W 1 0 s J n F 1 b 3 Q 7 Y 2 9 s d W 1 u S W R l b n R p d G l l c y Z x d W 9 0 O z p b J n F 1 b 3 Q 7 U 2 V j d G l v b j E v e W 8 v Q 2 h h b m d l Z C B U e X B l L n t D b 2 x 1 b W 4 x L D B 9 J n F 1 b 3 Q 7 L C Z x d W 9 0 O 1 N l Y 3 R p b 2 4 x L 3 l v L 0 N o Y W 5 n Z W Q g V H l w Z S 5 7 Q 2 9 s d W 1 u M i w x f S Z x d W 9 0 O y w m c X V v d D t T Z W N 0 a W 9 u M S 9 5 b y 9 D a G F u Z 2 V k I F R 5 c G U u e 0 N v b H V t b j M s M n 0 m c X V v d D s s J n F 1 b 3 Q 7 U 2 V j d G l v b j E v e W 8 v Q 2 h h b m d l Z C B U e X B l L n t D b 2 x 1 b W 4 0 L D N 9 J n F 1 b 3 Q 7 L C Z x d W 9 0 O 1 N l Y 3 R p b 2 4 x L 3 l v L 0 N o Y W 5 n Z W Q g V H l w Z S 5 7 Q 2 9 s d W 1 u N S w 0 f S Z x d W 9 0 O y w m c X V v d D t T Z W N 0 a W 9 u M S 9 5 b y 9 D a G F u Z 2 V k I F R 5 c G U u e 0 N v b H V t b j Y s N X 0 m c X V v d D s s J n F 1 b 3 Q 7 U 2 V j d G l v b j E v e W 8 v Q 2 h h b m d l Z C B U e X B l L n t D b 2 x 1 b W 4 3 L D Z 9 J n F 1 b 3 Q 7 L C Z x d W 9 0 O 1 N l Y 3 R p b 2 4 x L 3 l v L 0 N o Y W 5 n Z W Q g V H l w Z S 5 7 Q 2 9 s d W 1 u O C w 3 f S Z x d W 9 0 O 1 0 s J n F 1 b 3 Q 7 Q 2 9 s d W 1 u Q 2 9 1 b n Q m c X V v d D s 6 O C w m c X V v d D t L Z X l D b 2 x 1 b W 5 O Y W 1 l c y Z x d W 9 0 O z p b X S w m c X V v d D t D b 2 x 1 b W 5 J Z G V u d G l 0 a W V z J n F 1 b 3 Q 7 O l s m c X V v d D t T Z W N 0 a W 9 u M S 9 5 b y 9 D a G F u Z 2 V k I F R 5 c G U u e 0 N v b H V t b j E s M H 0 m c X V v d D s s J n F 1 b 3 Q 7 U 2 V j d G l v b j E v e W 8 v Q 2 h h b m d l Z C B U e X B l L n t D b 2 x 1 b W 4 y L D F 9 J n F 1 b 3 Q 7 L C Z x d W 9 0 O 1 N l Y 3 R p b 2 4 x L 3 l v L 0 N o Y W 5 n Z W Q g V H l w Z S 5 7 Q 2 9 s d W 1 u M y w y f S Z x d W 9 0 O y w m c X V v d D t T Z W N 0 a W 9 u M S 9 5 b y 9 D a G F u Z 2 V k I F R 5 c G U u e 0 N v b H V t b j Q s M 3 0 m c X V v d D s s J n F 1 b 3 Q 7 U 2 V j d G l v b j E v e W 8 v Q 2 h h b m d l Z C B U e X B l L n t D b 2 x 1 b W 4 1 L D R 9 J n F 1 b 3 Q 7 L C Z x d W 9 0 O 1 N l Y 3 R p b 2 4 x L 3 l v L 0 N o Y W 5 n Z W Q g V H l w Z S 5 7 Q 2 9 s d W 1 u N i w 1 f S Z x d W 9 0 O y w m c X V v d D t T Z W N 0 a W 9 u M S 9 5 b y 9 D a G F u Z 2 V k I F R 5 c G U u e 0 N v b H V t b j c s N n 0 m c X V v d D s s J n F 1 b 3 Q 7 U 2 V j d G l v b j E v e W 8 v Q 2 h h b m d l Z C B U e X B l L n t D b 2 x 1 b W 4 4 L D d 9 J n F 1 b 3 Q 7 X S w m c X V v d D t S Z W x h d G l v b n N o a X B J b m Z v J n F 1 b 3 Q 7 O l t d f S I g L z 4 8 L 1 N 0 Y W J s Z U V u d H J p Z X M + P C 9 J d G V t P j x J d G V t P j x J d G V t T G 9 j Y X R p b 2 4 + P E l 0 Z W 1 U e X B l P k Z v c m 1 1 b G E 8 L 0 l 0 Z W 1 U e X B l P j x J d G V t U G F 0 a D 5 T Z W N 0 a W 9 u M S 9 5 b y U y M C g 3 K S 9 T b 3 V y Y 2 U 8 L 0 l 0 Z W 1 Q Y X R o P j w v S X R l b U x v Y 2 F 0 a W 9 u P j x T d G F i b G V F b n R y a W V z I C 8 + P C 9 J d G V t P j x J d G V t P j x J d G V t T G 9 j Y X R p b 2 4 + P E l 0 Z W 1 U e X B l P k Z v c m 1 1 b G E 8 L 0 l 0 Z W 1 U e X B l P j x J d G V t U G F 0 a D 5 T Z W N 0 a W 9 u M S 9 5 b y U y M C g 3 K S 9 D a G F u Z 2 V k J T I w V H l w Z T w v S X R l b V B h d G g + P C 9 J d G V t T G 9 j Y X R p b 2 4 + P F N 0 Y W J s Z U V u d H J p Z X M g L z 4 8 L 0 l 0 Z W 0 + P E l 0 Z W 0 + P E l 0 Z W 1 M b 2 N h d G l v b j 4 8 S X R l b V R 5 c G U + R m 9 y b X V s Y T w v S X R l b V R 5 c G U + P E l 0 Z W 1 Q Y X R o P l N l Y 3 R p b 2 4 x L 3 l v J T I w K D g p P C 9 J d G V t U G F 0 a D 4 8 L 0 l 0 Z W 1 M b 2 N h d G l v b j 4 8 U 3 R h Y m x l R W 5 0 c m l l c z 4 8 R W 5 0 c n k g V H l w Z T 0 i R m l s b F N 0 Y X R 1 c y I g V m F s d W U 9 I n N D b 2 1 w b G V 0 Z S I g L z 4 8 R W 5 0 c n k g V H l w Z T 0 i Q n V m Z m V y T m V 4 d F J l Z n J l c 2 g i I F Z h b H V l P S J s M S I g L z 4 8 R W 5 0 c n k g V H l w Z T 0 i R m l s b E N v b H V t b k 5 h b W V z I i B W Y W x 1 Z T 0 i c 1 s m c X V v d D t D b 2 x 1 b W 4 x J n F 1 b 3 Q 7 L C Z x d W 9 0 O 0 N v b H V t b j I m c X V v d D s s J n F 1 b 3 Q 7 Q 2 9 s d W 1 u M y Z x d W 9 0 O y w m c X V v d D t D b 2 x 1 b W 4 0 J n F 1 b 3 Q 7 L C Z x d W 9 0 O 0 N v b H V t b j U m c X V v d D s s J n F 1 b 3 Q 7 Q 2 9 s d W 1 u N i Z x d W 9 0 O y w m c X V v d D t D b 2 x 1 b W 4 3 J n F 1 b 3 Q 7 L C Z x d W 9 0 O 0 N v b H V t b j g m c X V v d D t d I i A v P j x F b n R y e S B U e X B l P S J G a W x s R W 5 h Y m x l Z C I g V m F s d W U 9 I m w x I i A v P j x F b n R y e S B U e X B l P S J G a W x s Q 2 9 s d W 1 u V H l w Z X M i I F Z h b H V l P S J z Q m d Z R E J n T U R B d 0 0 9 I i A v P j x F b n R y e S B U e X B l P S J G a W x s T G F z d F V w Z G F 0 Z W Q i I F Z h b H V l P S J k M j A y M i 0 w N S 0 x M F Q w M z o z M T o z N y 4 3 N T Y 0 N T k y W i I g L z 4 8 R W 5 0 c n k g V H l w Z T 0 i R m l s b E V y c m 9 y Q 2 9 1 b n Q i I F Z h b H V l P S J s M C I g L z 4 8 R W 5 0 c n k g V H l w Z T 0 i R m l s b E V y c m 9 y Q 2 9 k Z S I g V m F s d W U 9 I n N V b m t u b 3 d u I i A v P j x F b n R y e S B U e X B l P S J G a W x s Z W R D b 2 1 w b G V 0 Z V J l c 3 V s d F R v V 2 9 y a 3 N o Z W V 0 I i B W Y W x 1 Z T 0 i b D E i I C 8 + P E V u d H J 5 I F R 5 c G U 9 I k Z p b G x D b 3 V u d C I g V m F s d W U 9 I m w x M i I g L z 4 8 R W 5 0 c n k g V H l w Z T 0 i R m l s b F R v R G F 0 Y U 1 v Z G V s R W 5 h Y m x l Z C I g V m F s d W U 9 I m w w I i A v P j x F b n R y e S B U e X B l P S J J c 1 B y a X Z h d G U i I F Z h b H V l P S J s M C I g L z 4 8 R W 5 0 c n k g V H l w Z T 0 i Q W R k Z W R U b 0 R h d G F N b 2 R l b C I g V m F s d W U 9 I m w w I i A v P j x F b n R y e S B U e X B l P S J S Z X N 1 b H R U e X B l I i B W Y W x 1 Z T 0 i c 0 V 4 Y 2 V w d G l v b i I g L z 4 8 R W 5 0 c n k g V H l w Z T 0 i R m l s b E 9 i a m V j d F R 5 c G U i I F Z h b H V l P S J z V G F i b G U i I C 8 + P E V u d H J 5 I F R 5 c G U 9 I k x v Y W R l Z F R v Q W 5 h b H l z a X N T Z X J 2 a W N l c y I g V m F s d W U 9 I m w w I i A v P j x F b n R y e S B U e X B l P S J G a W x s V G F y Z 2 V 0 I i B W Y W x 1 Z T 0 i c 3 l v X z Q 3 M T A i I C 8 + P E V u d H J 5 I F R 5 c G U 9 I l J l b G F 0 a W 9 u c 2 h p c E l u Z m 9 D b 2 5 0 Y W l u Z X I i I F Z h b H V l P S J z e y Z x d W 9 0 O 2 N v b H V t b k N v d W 5 0 J n F 1 b 3 Q 7 O j g s J n F 1 b 3 Q 7 a 2 V 5 Q 2 9 s d W 1 u T m F t Z X M m c X V v d D s 6 W 1 0 s J n F 1 b 3 Q 7 c X V l c n l S Z W x h d G l v b n N o a X B z J n F 1 b 3 Q 7 O l t d L C Z x d W 9 0 O 2 N v b H V t b k l k Z W 5 0 a X R p Z X M m c X V v d D s 6 W y Z x d W 9 0 O 1 N l Y 3 R p b 2 4 x L 3 l v L 0 N o Y W 5 n Z W Q g V H l w Z S 5 7 Q 2 9 s d W 1 u M S w w f S Z x d W 9 0 O y w m c X V v d D t T Z W N 0 a W 9 u M S 9 5 b y 9 D a G F u Z 2 V k I F R 5 c G U u e 0 N v b H V t b j I s M X 0 m c X V v d D s s J n F 1 b 3 Q 7 U 2 V j d G l v b j E v e W 8 v Q 2 h h b m d l Z C B U e X B l L n t D b 2 x 1 b W 4 z L D J 9 J n F 1 b 3 Q 7 L C Z x d W 9 0 O 1 N l Y 3 R p b 2 4 x L 3 l v L 0 N o Y W 5 n Z W Q g V H l w Z S 5 7 Q 2 9 s d W 1 u N C w z f S Z x d W 9 0 O y w m c X V v d D t T Z W N 0 a W 9 u M S 9 5 b y 9 D a G F u Z 2 V k I F R 5 c G U u e 0 N v b H V t b j U s N H 0 m c X V v d D s s J n F 1 b 3 Q 7 U 2 V j d G l v b j E v e W 8 v Q 2 h h b m d l Z C B U e X B l L n t D b 2 x 1 b W 4 2 L D V 9 J n F 1 b 3 Q 7 L C Z x d W 9 0 O 1 N l Y 3 R p b 2 4 x L 3 l v L 0 N o Y W 5 n Z W Q g V H l w Z S 5 7 Q 2 9 s d W 1 u N y w 2 f S Z x d W 9 0 O y w m c X V v d D t T Z W N 0 a W 9 u M S 9 5 b y 9 D a G F u Z 2 V k I F R 5 c G U u e 0 N v b H V t b j g s N 3 0 m c X V v d D t d L C Z x d W 9 0 O 0 N v b H V t b k N v d W 5 0 J n F 1 b 3 Q 7 O j g s J n F 1 b 3 Q 7 S 2 V 5 Q 2 9 s d W 1 u T m F t Z X M m c X V v d D s 6 W 1 0 s J n F 1 b 3 Q 7 Q 2 9 s d W 1 u S W R l b n R p d G l l c y Z x d W 9 0 O z p b J n F 1 b 3 Q 7 U 2 V j d G l v b j E v e W 8 v Q 2 h h b m d l Z C B U e X B l L n t D b 2 x 1 b W 4 x L D B 9 J n F 1 b 3 Q 7 L C Z x d W 9 0 O 1 N l Y 3 R p b 2 4 x L 3 l v L 0 N o Y W 5 n Z W Q g V H l w Z S 5 7 Q 2 9 s d W 1 u M i w x f S Z x d W 9 0 O y w m c X V v d D t T Z W N 0 a W 9 u M S 9 5 b y 9 D a G F u Z 2 V k I F R 5 c G U u e 0 N v b H V t b j M s M n 0 m c X V v d D s s J n F 1 b 3 Q 7 U 2 V j d G l v b j E v e W 8 v Q 2 h h b m d l Z C B U e X B l L n t D b 2 x 1 b W 4 0 L D N 9 J n F 1 b 3 Q 7 L C Z x d W 9 0 O 1 N l Y 3 R p b 2 4 x L 3 l v L 0 N o Y W 5 n Z W Q g V H l w Z S 5 7 Q 2 9 s d W 1 u N S w 0 f S Z x d W 9 0 O y w m c X V v d D t T Z W N 0 a W 9 u M S 9 5 b y 9 D a G F u Z 2 V k I F R 5 c G U u e 0 N v b H V t b j Y s N X 0 m c X V v d D s s J n F 1 b 3 Q 7 U 2 V j d G l v b j E v e W 8 v Q 2 h h b m d l Z C B U e X B l L n t D b 2 x 1 b W 4 3 L D Z 9 J n F 1 b 3 Q 7 L C Z x d W 9 0 O 1 N l Y 3 R p b 2 4 x L 3 l v L 0 N o Y W 5 n Z W Q g V H l w Z S 5 7 Q 2 9 s d W 1 u O C w 3 f S Z x d W 9 0 O 1 0 s J n F 1 b 3 Q 7 U m V s Y X R p b 2 5 z a G l w S W 5 m b y Z x d W 9 0 O z p b X X 0 i I C 8 + P C 9 T d G F i b G V F b n R y a W V z P j w v S X R l b T 4 8 S X R l b T 4 8 S X R l b U x v Y 2 F 0 a W 9 u P j x J d G V t V H l w Z T 5 G b 3 J t d W x h P C 9 J d G V t V H l w Z T 4 8 S X R l b V B h d G g + U 2 V j d G l v b j E v e W 8 l M j A o O C k v U 2 9 1 c m N l P C 9 J d G V t U G F 0 a D 4 8 L 0 l 0 Z W 1 M b 2 N h d G l v b j 4 8 U 3 R h Y m x l R W 5 0 c m l l c y A v P j w v S X R l b T 4 8 S X R l b T 4 8 S X R l b U x v Y 2 F 0 a W 9 u P j x J d G V t V H l w Z T 5 G b 3 J t d W x h P C 9 J d G V t V H l w Z T 4 8 S X R l b V B h d G g + U 2 V j d G l v b j E v e W 8 l M j A o O C k v Q 2 h h b m d l Z C U y M F R 5 c G U 8 L 0 l 0 Z W 1 Q Y X R o P j w v S X R l b U x v Y 2 F 0 a W 9 u P j x T d G F i b G V F b n R y a W V z I C 8 + P C 9 J d G V t P j w v S X R l b X M + P C 9 M b 2 N h b F B h Y 2 t h Z 2 V N Z X R h Z G F 0 Y U Z p b G U + F g A A A F B L B Q Y A A A A A A A A A A A A A A A A A A A A A A A D a A A A A A Q A A A N C M n d 8 B F d E R j H o A w E / C l + s B A A A A P 4 V J 6 s 7 U 5 0 2 r z r F B Q 3 J d G w A A A A A C A A A A A A A D Z g A A w A A A A B A A A A C f X G P h K G z r y S K d J m + + Z v m U A A A A A A S A A A C g A A A A E A A A A B X I X y E K d j X t 1 X 0 4 d v c E 1 n d Q A A A A G I 4 d L C 8 H k 7 B 6 i S 0 J j C u d q S + 6 C 2 W K 4 9 s J k S n P y J y i 0 S G L v 1 W U 6 S r y q L C 1 x C S g 8 4 i R d W 9 o M n o I E 4 d k F M g g E u i Y T y + l j j x H A + G N f t 3 j Q R d j m J 0 U A A A A 1 r G D g e t v n E 6 C b d T k 5 A D O U E i 6 c P M = < / D a t a M a s h u p > 
</file>

<file path=customXml/item3.xml><?xml version="1.0" encoding="utf-8"?>
<ct:contentTypeSchema xmlns:ct="http://schemas.microsoft.com/office/2006/metadata/contentType" xmlns:ma="http://schemas.microsoft.com/office/2006/metadata/properties/metaAttributes" ct:_="" ma:_="" ma:contentTypeName="Document" ma:contentTypeID="0x0101005BC9CFC0BEBA5141ABBB6E11D382F8EA" ma:contentTypeVersion="13" ma:contentTypeDescription="Create a new document." ma:contentTypeScope="" ma:versionID="2a54795bdfab5d4d9de35fdc5f48b7e9">
  <xsd:schema xmlns:xsd="http://www.w3.org/2001/XMLSchema" xmlns:xs="http://www.w3.org/2001/XMLSchema" xmlns:p="http://schemas.microsoft.com/office/2006/metadata/properties" xmlns:ns2="e7421bb9-ea3e-4b91-9cad-311db034257c" xmlns:ns3="bf5b0e47-c7eb-4ab1-809e-1ffe821ce70e" targetNamespace="http://schemas.microsoft.com/office/2006/metadata/properties" ma:root="true" ma:fieldsID="68a61549d2a53a8f8e9e9feb03b101d9" ns2:_="" ns3:_="">
    <xsd:import namespace="e7421bb9-ea3e-4b91-9cad-311db034257c"/>
    <xsd:import namespace="bf5b0e47-c7eb-4ab1-809e-1ffe821ce7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21bb9-ea3e-4b91-9cad-311db0342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5b0e47-c7eb-4ab1-809e-1ffe821ce7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59AE6F-BC9C-4A35-87F4-58D54A38C61C}">
  <ds:schemaRefs>
    <ds:schemaRef ds:uri="http://schemas.microsoft.com/sharepoint/v3/contenttype/forms"/>
  </ds:schemaRefs>
</ds:datastoreItem>
</file>

<file path=customXml/itemProps2.xml><?xml version="1.0" encoding="utf-8"?>
<ds:datastoreItem xmlns:ds="http://schemas.openxmlformats.org/officeDocument/2006/customXml" ds:itemID="{B28CFB76-44FB-47EE-919E-348CC62C404D}">
  <ds:schemaRefs>
    <ds:schemaRef ds:uri="http://schemas.microsoft.com/DataMashup"/>
  </ds:schemaRefs>
</ds:datastoreItem>
</file>

<file path=customXml/itemProps3.xml><?xml version="1.0" encoding="utf-8"?>
<ds:datastoreItem xmlns:ds="http://schemas.openxmlformats.org/officeDocument/2006/customXml" ds:itemID="{5FE647E7-DC70-4A41-BC1A-3952F202F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21bb9-ea3e-4b91-9cad-311db034257c"/>
    <ds:schemaRef ds:uri="bf5b0e47-c7eb-4ab1-809e-1ffe821ce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16E8A0-A07D-48EF-BDA7-4D1288D83E81}">
  <ds:schemaRefs>
    <ds:schemaRef ds:uri="bf5b0e47-c7eb-4ab1-809e-1ffe821ce70e"/>
    <ds:schemaRef ds:uri="http://purl.org/dc/terms/"/>
    <ds:schemaRef ds:uri="http://schemas.openxmlformats.org/package/2006/metadata/core-properties"/>
    <ds:schemaRef ds:uri="http://schemas.microsoft.com/office/2006/documentManagement/types"/>
    <ds:schemaRef ds:uri="e7421bb9-ea3e-4b91-9cad-311db034257c"/>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1.Project Scoring Rubric</vt:lpstr>
      <vt:lpstr>2.Geographic Equity Data</vt:lpstr>
      <vt:lpstr>3.Intake Form</vt:lpstr>
      <vt:lpstr>SSP_CF</vt:lpstr>
      <vt:lpstr>Supp.Hous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Hartley</dc:creator>
  <cp:keywords/>
  <dc:description/>
  <cp:lastModifiedBy>Johnny Oliver</cp:lastModifiedBy>
  <cp:revision/>
  <dcterms:created xsi:type="dcterms:W3CDTF">2016-09-20T00:10:07Z</dcterms:created>
  <dcterms:modified xsi:type="dcterms:W3CDTF">2022-07-01T19:06:27Z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0x0101005BC9CFC0BEBA5141ABBB6E11D382F8EA</vt:lpwstr>
  </property>
</Properties>
</file>